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5" yWindow="270" windowWidth="12570" windowHeight="68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F36"/>
  <c r="G102"/>
  <c r="G101"/>
  <c r="S34"/>
  <c r="Q34"/>
  <c r="O34"/>
  <c r="F13"/>
  <c r="A50"/>
  <c r="A49"/>
  <c r="A48"/>
  <c r="B163"/>
  <c r="O38" l="1"/>
  <c r="O41"/>
  <c r="O44"/>
  <c r="K61"/>
  <c r="L59"/>
  <c r="L58"/>
  <c r="I58"/>
  <c r="M58" s="1"/>
  <c r="M59" s="1"/>
  <c r="H58"/>
  <c r="H60" s="1"/>
  <c r="P45" l="1"/>
  <c r="Q45" s="1"/>
  <c r="O36"/>
  <c r="N36" s="1"/>
  <c r="R36"/>
  <c r="S36" s="1"/>
  <c r="P36"/>
  <c r="Q36" s="1"/>
  <c r="P39"/>
  <c r="Q39" s="1"/>
  <c r="O39"/>
  <c r="O42"/>
  <c r="P42"/>
  <c r="Q42" s="1"/>
  <c r="O45"/>
  <c r="N58"/>
  <c r="N59" s="1"/>
  <c r="I60"/>
  <c r="I13"/>
  <c r="J16"/>
  <c r="G91"/>
  <c r="G92" s="1"/>
  <c r="E84"/>
  <c r="D84"/>
  <c r="I3" l="1"/>
  <c r="I2"/>
  <c r="H31"/>
  <c r="C43" l="1"/>
  <c r="T180"/>
  <c r="T181" s="1"/>
  <c r="T184" s="1"/>
  <c r="V181"/>
  <c r="R180"/>
  <c r="R181" s="1"/>
  <c r="P180"/>
  <c r="P181" s="1"/>
  <c r="P184" s="1"/>
  <c r="S177"/>
  <c r="R177" s="1"/>
  <c r="T177" s="1"/>
  <c r="I184"/>
  <c r="K182"/>
  <c r="J182"/>
  <c r="I182"/>
  <c r="K84"/>
  <c r="L85" s="1"/>
  <c r="L86" s="1"/>
  <c r="L87" s="1"/>
  <c r="L182" l="1"/>
  <c r="J185" s="1"/>
  <c r="R184"/>
  <c r="R186" s="1"/>
  <c r="R182"/>
  <c r="U181"/>
  <c r="P182"/>
  <c r="T182"/>
  <c r="G21"/>
  <c r="G22" s="1"/>
  <c r="AH11"/>
  <c r="AH10"/>
  <c r="AH9"/>
  <c r="AH6"/>
  <c r="AF5"/>
  <c r="AF6" s="1"/>
  <c r="AF9" s="1"/>
  <c r="AD5"/>
  <c r="AD6" s="1"/>
  <c r="AB5"/>
  <c r="AB6" s="1"/>
  <c r="AB9" s="1"/>
  <c r="AE2"/>
  <c r="AD2" s="1"/>
  <c r="AF2" s="1"/>
  <c r="Y11"/>
  <c r="Y10"/>
  <c r="Y9"/>
  <c r="Y6"/>
  <c r="L9"/>
  <c r="L11"/>
  <c r="K11"/>
  <c r="N9"/>
  <c r="O161"/>
  <c r="N165" s="1"/>
  <c r="N169" s="1"/>
  <c r="O160"/>
  <c r="N164" s="1"/>
  <c r="N168" s="1"/>
  <c r="O159"/>
  <c r="N163" s="1"/>
  <c r="N167" s="1"/>
  <c r="N170" s="1"/>
  <c r="N171" s="1"/>
  <c r="N173" s="1"/>
  <c r="N161"/>
  <c r="L68"/>
  <c r="L70" s="1"/>
  <c r="M70" s="1"/>
  <c r="M72" s="1"/>
  <c r="N72" s="1"/>
  <c r="K68"/>
  <c r="D68"/>
  <c r="K43"/>
  <c r="L127"/>
  <c r="J127"/>
  <c r="H127"/>
  <c r="N128"/>
  <c r="L128"/>
  <c r="L129" s="1"/>
  <c r="J128"/>
  <c r="J129" s="1"/>
  <c r="H128"/>
  <c r="C183"/>
  <c r="B183"/>
  <c r="C182"/>
  <c r="C191" s="1"/>
  <c r="D182"/>
  <c r="D191" s="1"/>
  <c r="B182"/>
  <c r="B191" s="1"/>
  <c r="B185"/>
  <c r="B186" s="1"/>
  <c r="D176"/>
  <c r="D177" s="1"/>
  <c r="C176"/>
  <c r="C177" s="1"/>
  <c r="B176"/>
  <c r="B177" s="1"/>
  <c r="H22"/>
  <c r="V18"/>
  <c r="V16"/>
  <c r="U16"/>
  <c r="U18" s="1"/>
  <c r="T16"/>
  <c r="T18" s="1"/>
  <c r="X15" s="1"/>
  <c r="G152"/>
  <c r="H146"/>
  <c r="H147" s="1"/>
  <c r="J146"/>
  <c r="J147" s="1"/>
  <c r="I147"/>
  <c r="B113"/>
  <c r="C113" s="1"/>
  <c r="E111" s="1"/>
  <c r="F111" s="1"/>
  <c r="B110"/>
  <c r="C110" s="1"/>
  <c r="E108"/>
  <c r="F108" s="1"/>
  <c r="H99"/>
  <c r="B189" l="1"/>
  <c r="B190" s="1"/>
  <c r="B187"/>
  <c r="B188" s="1"/>
  <c r="B192"/>
  <c r="B193"/>
  <c r="B178" s="1"/>
  <c r="C192"/>
  <c r="C193"/>
  <c r="C178" s="1"/>
  <c r="C179" s="1"/>
  <c r="Y15"/>
  <c r="D193"/>
  <c r="D178" s="1"/>
  <c r="D179" s="1"/>
  <c r="D192"/>
  <c r="D185"/>
  <c r="D186" s="1"/>
  <c r="D183"/>
  <c r="E183" s="1"/>
  <c r="F183" s="1"/>
  <c r="M11"/>
  <c r="M13" s="1"/>
  <c r="G23"/>
  <c r="C185"/>
  <c r="C186" s="1"/>
  <c r="U182"/>
  <c r="AD9"/>
  <c r="AD11" s="1"/>
  <c r="AD7"/>
  <c r="AG6"/>
  <c r="AB7"/>
  <c r="AG7" s="1"/>
  <c r="AF7"/>
  <c r="H129"/>
  <c r="M129" s="1"/>
  <c r="M128"/>
  <c r="E177"/>
  <c r="F177" s="1"/>
  <c r="J149"/>
  <c r="I149"/>
  <c r="I150" s="1"/>
  <c r="J150" s="1"/>
  <c r="H149"/>
  <c r="E127"/>
  <c r="D127" s="1"/>
  <c r="B129" s="1"/>
  <c r="B130" s="1"/>
  <c r="H111"/>
  <c r="J108"/>
  <c r="C97"/>
  <c r="C98" s="1"/>
  <c r="A95"/>
  <c r="A96" s="1"/>
  <c r="A83"/>
  <c r="A84" s="1"/>
  <c r="B88" s="1"/>
  <c r="D88" s="1"/>
  <c r="B92" s="1"/>
  <c r="C85"/>
  <c r="C86" s="1"/>
  <c r="I30"/>
  <c r="H85"/>
  <c r="H87" s="1"/>
  <c r="G87" s="1"/>
  <c r="G85" s="1"/>
  <c r="G84" s="1"/>
  <c r="I84" s="1"/>
  <c r="I85" s="1"/>
  <c r="I87" s="1"/>
  <c r="I68"/>
  <c r="I69" s="1"/>
  <c r="I71" s="1"/>
  <c r="H69"/>
  <c r="H71" s="1"/>
  <c r="G69"/>
  <c r="G71" s="1"/>
  <c r="H40"/>
  <c r="G40"/>
  <c r="H36"/>
  <c r="I37" s="1"/>
  <c r="H35"/>
  <c r="I35" s="1"/>
  <c r="K2"/>
  <c r="O8"/>
  <c r="O16"/>
  <c r="N16"/>
  <c r="H6"/>
  <c r="F84" l="1"/>
  <c r="H92" s="1"/>
  <c r="I89"/>
  <c r="C189"/>
  <c r="C187"/>
  <c r="C188" s="1"/>
  <c r="D189"/>
  <c r="D190" s="1"/>
  <c r="D187"/>
  <c r="D188" s="1"/>
  <c r="E192"/>
  <c r="F192" s="1"/>
  <c r="B179"/>
  <c r="E179" s="1"/>
  <c r="F179" s="1"/>
  <c r="E178"/>
  <c r="E188"/>
  <c r="F188" s="1"/>
  <c r="K125"/>
  <c r="J124"/>
  <c r="H124"/>
  <c r="I124"/>
  <c r="O9"/>
  <c r="P9" s="1"/>
  <c r="B18" s="1"/>
  <c r="H118"/>
  <c r="H119" s="1"/>
  <c r="J119" s="1"/>
  <c r="J120" s="1"/>
  <c r="H112"/>
  <c r="J112" s="1"/>
  <c r="J114" s="1"/>
  <c r="J115" s="1"/>
  <c r="B99"/>
  <c r="D99" s="1"/>
  <c r="B103" s="1"/>
  <c r="B100"/>
  <c r="D100" s="1"/>
  <c r="B104" s="1"/>
  <c r="A97"/>
  <c r="A85"/>
  <c r="B87"/>
  <c r="D87" s="1"/>
  <c r="B91" s="1"/>
  <c r="A43"/>
  <c r="K35"/>
  <c r="O17"/>
  <c r="P17" s="1"/>
  <c r="E68"/>
  <c r="F68"/>
  <c r="H41"/>
  <c r="I41" s="1"/>
  <c r="I42" s="1"/>
  <c r="I36"/>
  <c r="C190" l="1"/>
  <c r="E190" s="1"/>
  <c r="F190" s="1"/>
  <c r="E189"/>
  <c r="K124"/>
  <c r="P10"/>
  <c r="P11"/>
  <c r="P12"/>
  <c r="F123"/>
  <c r="I133"/>
  <c r="J133"/>
  <c r="H133"/>
  <c r="I43"/>
  <c r="P19"/>
  <c r="A18"/>
  <c r="B19" s="1"/>
  <c r="P20"/>
  <c r="P18"/>
  <c r="F124" l="1"/>
  <c r="F155"/>
  <c r="H155" s="1"/>
  <c r="I31"/>
  <c r="I32" l="1"/>
  <c r="K37"/>
  <c r="N31"/>
  <c r="Q31" s="1"/>
  <c r="R31" s="1"/>
  <c r="M31"/>
  <c r="O31" s="1"/>
  <c r="P31" s="1"/>
  <c r="K38" l="1"/>
  <c r="L38" s="1"/>
  <c r="L37"/>
  <c r="K16" l="1"/>
  <c r="K17" s="1"/>
  <c r="L17" s="1"/>
  <c r="E19"/>
  <c r="L18" l="1"/>
  <c r="L21" s="1"/>
  <c r="L22" s="1"/>
  <c r="L23" s="1"/>
  <c r="L24" s="1"/>
  <c r="L19"/>
  <c r="B43" l="1"/>
  <c r="A45" l="1"/>
  <c r="C45"/>
  <c r="B45"/>
  <c r="B46" l="1"/>
  <c r="C46" l="1"/>
  <c r="N3" l="1"/>
  <c r="O3" s="1"/>
  <c r="E31" l="1"/>
  <c r="D31" l="1"/>
  <c r="A34" s="1"/>
  <c r="U5"/>
  <c r="U6" s="1"/>
  <c r="W5"/>
  <c r="W6" s="1"/>
  <c r="V2"/>
  <c r="U2" s="1"/>
  <c r="W2" s="1"/>
  <c r="S5"/>
  <c r="S6" s="1"/>
  <c r="H29"/>
  <c r="M28"/>
  <c r="O28" s="1"/>
  <c r="P28" s="1"/>
  <c r="N28"/>
  <c r="Q28" s="1"/>
  <c r="R28" s="1"/>
  <c r="J28"/>
  <c r="L28" s="1"/>
  <c r="K28" s="1"/>
  <c r="J33" s="1"/>
  <c r="B34" l="1"/>
  <c r="C34"/>
  <c r="C35" s="1"/>
  <c r="F27"/>
  <c r="E34"/>
  <c r="E35" s="1"/>
  <c r="F31"/>
  <c r="A35"/>
  <c r="U9"/>
  <c r="U11" s="1"/>
  <c r="U7"/>
  <c r="I29"/>
  <c r="S7"/>
  <c r="S9"/>
  <c r="X6"/>
  <c r="W7"/>
  <c r="W9"/>
  <c r="B35" l="1"/>
  <c r="X7"/>
  <c r="N29"/>
  <c r="Q29" s="1"/>
  <c r="R29" s="1"/>
  <c r="H30"/>
  <c r="M29"/>
  <c r="J29"/>
  <c r="P25" l="1"/>
  <c r="O29"/>
  <c r="P29" s="1"/>
  <c r="J30"/>
  <c r="M30"/>
  <c r="O30" s="1"/>
  <c r="P30" s="1"/>
  <c r="N30"/>
  <c r="Q30" s="1"/>
  <c r="R30" s="1"/>
  <c r="L29"/>
  <c r="K29" s="1"/>
  <c r="J34" s="1"/>
  <c r="B151" l="1"/>
  <c r="A151"/>
  <c r="C151"/>
  <c r="D154"/>
  <c r="M4"/>
  <c r="L30"/>
  <c r="K30" s="1"/>
  <c r="D151" l="1"/>
  <c r="H16" l="1"/>
  <c r="I23" s="1"/>
  <c r="I16" l="1"/>
  <c r="K55" l="1"/>
  <c r="I51"/>
  <c r="J55"/>
  <c r="H51"/>
  <c r="F51"/>
  <c r="G51" s="1"/>
  <c r="J51"/>
  <c r="L55"/>
  <c r="E52"/>
  <c r="D52" s="1"/>
  <c r="B55" s="1"/>
  <c r="F56" l="1"/>
  <c r="G56" s="1"/>
  <c r="A55"/>
  <c r="D56" s="1"/>
  <c r="E56" s="1"/>
  <c r="C55"/>
  <c r="K51"/>
  <c r="D167"/>
  <c r="H56" l="1"/>
  <c r="I56" s="1"/>
  <c r="K47" s="1"/>
  <c r="E163"/>
  <c r="D163" s="1"/>
  <c r="H166" l="1"/>
  <c r="D168" s="1"/>
  <c r="F168" s="1"/>
  <c r="B164"/>
  <c r="A164"/>
  <c r="C164"/>
  <c r="F164"/>
  <c r="H164" s="1"/>
  <c r="D169" l="1"/>
  <c r="I166"/>
  <c r="C165"/>
  <c r="D165" s="1"/>
  <c r="G60" l="1"/>
  <c r="G61" s="1"/>
  <c r="G63" s="1"/>
  <c r="H61"/>
  <c r="H63" s="1"/>
  <c r="E60" l="1"/>
  <c r="I61" l="1"/>
  <c r="I63"/>
  <c r="F60"/>
  <c r="N64"/>
  <c r="N66"/>
  <c r="N68"/>
  <c r="O68"/>
  <c r="O69"/>
  <c r="J64"/>
  <c r="J65"/>
  <c r="K58"/>
  <c r="N62"/>
  <c r="D19"/>
  <c r="F19"/>
  <c r="F16" s="1"/>
  <c r="L61"/>
  <c r="N61"/>
  <c r="B5"/>
  <c r="B6" s="1"/>
  <c r="D5"/>
  <c r="D6" s="1"/>
  <c r="F5"/>
  <c r="F6" s="1"/>
  <c r="C3"/>
  <c r="A3"/>
  <c r="B3"/>
  <c r="E2"/>
  <c r="D2" s="1"/>
  <c r="F2" s="1"/>
  <c r="R15"/>
  <c r="R17" s="1"/>
  <c r="D7" l="1"/>
  <c r="D8"/>
  <c r="B11"/>
  <c r="F12"/>
  <c r="D3"/>
  <c r="G19"/>
  <c r="C21"/>
  <c r="B20"/>
  <c r="F17"/>
  <c r="F21"/>
  <c r="B7"/>
  <c r="B9"/>
  <c r="B12" s="1"/>
  <c r="G6"/>
  <c r="F9"/>
  <c r="F7"/>
  <c r="D9"/>
  <c r="C23" l="1"/>
  <c r="C24" s="1"/>
  <c r="C22"/>
  <c r="F23"/>
  <c r="F24" s="1"/>
  <c r="H19" s="1"/>
  <c r="F22"/>
  <c r="J18" s="1"/>
  <c r="J6"/>
  <c r="D10"/>
  <c r="D11"/>
  <c r="F8"/>
  <c r="F10"/>
  <c r="E11"/>
  <c r="G7"/>
  <c r="D21"/>
  <c r="D44" s="1"/>
</calcChain>
</file>

<file path=xl/sharedStrings.xml><?xml version="1.0" encoding="utf-8"?>
<sst xmlns="http://schemas.openxmlformats.org/spreadsheetml/2006/main" count="427" uniqueCount="216">
  <si>
    <t>a</t>
  </si>
  <si>
    <t>b</t>
  </si>
  <si>
    <t>c</t>
  </si>
  <si>
    <t>p</t>
  </si>
  <si>
    <t>2p</t>
  </si>
  <si>
    <t>S</t>
  </si>
  <si>
    <t>пи</t>
  </si>
  <si>
    <t>SН</t>
  </si>
  <si>
    <t>Известно: две стороны а , в и угол между ними С.</t>
  </si>
  <si>
    <t xml:space="preserve">Сторона с равна : </t>
  </si>
  <si>
    <t>С градус</t>
  </si>
  <si>
    <t>С радиан</t>
  </si>
  <si>
    <t>a^2</t>
  </si>
  <si>
    <t>b^2</t>
  </si>
  <si>
    <t>2ab cos C</t>
  </si>
  <si>
    <t>2/3 =</t>
  </si>
  <si>
    <t>1/3 =</t>
  </si>
  <si>
    <t>Н =</t>
  </si>
  <si>
    <t>радиан</t>
  </si>
  <si>
    <t>градус</t>
  </si>
  <si>
    <t>AS =</t>
  </si>
  <si>
    <t>tg A=</t>
  </si>
  <si>
    <t>A =</t>
  </si>
  <si>
    <t>sin А =</t>
  </si>
  <si>
    <t>sin B =</t>
  </si>
  <si>
    <t>sin С =</t>
  </si>
  <si>
    <t>Аrad =</t>
  </si>
  <si>
    <t>Brad =</t>
  </si>
  <si>
    <t>cos A =</t>
  </si>
  <si>
    <t>Аgr =</t>
  </si>
  <si>
    <t>cos B =</t>
  </si>
  <si>
    <t>Bgr =</t>
  </si>
  <si>
    <t>cos С =</t>
  </si>
  <si>
    <t>Сrad =</t>
  </si>
  <si>
    <t>Сgr =</t>
  </si>
  <si>
    <t>1/2 =</t>
  </si>
  <si>
    <t>Высота, опущенная на сторону а, равна:</t>
  </si>
  <si>
    <t>=</t>
  </si>
  <si>
    <t>ha</t>
  </si>
  <si>
    <t>hb</t>
  </si>
  <si>
    <t>hc</t>
  </si>
  <si>
    <t>Прямоугольный треугольник</t>
  </si>
  <si>
    <t>Гипотенуза</t>
  </si>
  <si>
    <t>Число</t>
  </si>
  <si>
    <t>Корень</t>
  </si>
  <si>
    <t>sin В =</t>
  </si>
  <si>
    <t>Вrad =</t>
  </si>
  <si>
    <t>Вgr =</t>
  </si>
  <si>
    <t>Катет в</t>
  </si>
  <si>
    <t>tg В =</t>
  </si>
  <si>
    <t>В радиан</t>
  </si>
  <si>
    <t>В градус</t>
  </si>
  <si>
    <t>tg E =</t>
  </si>
  <si>
    <t>а =</t>
  </si>
  <si>
    <t>b =</t>
  </si>
  <si>
    <t>c =</t>
  </si>
  <si>
    <t xml:space="preserve">Медиана, соединяющая вершину </t>
  </si>
  <si>
    <t>треугольника А с серединой стороны а равна</t>
  </si>
  <si>
    <t>ма</t>
  </si>
  <si>
    <t>мс</t>
  </si>
  <si>
    <t>мв</t>
  </si>
  <si>
    <t>/2</t>
  </si>
  <si>
    <t>Сумма уг</t>
  </si>
  <si>
    <t>р =</t>
  </si>
  <si>
    <t>S  =</t>
  </si>
  <si>
    <t>- сумма уг</t>
  </si>
  <si>
    <t>Биссектриса угла А выражается</t>
  </si>
  <si>
    <t xml:space="preserve">      </t>
  </si>
  <si>
    <t>Угол А,гр</t>
  </si>
  <si>
    <t>Угол В,гр</t>
  </si>
  <si>
    <t>Угол С,гр</t>
  </si>
  <si>
    <t>sin A</t>
  </si>
  <si>
    <t>sin B</t>
  </si>
  <si>
    <t>sin C</t>
  </si>
  <si>
    <t xml:space="preserve">Стороны b и с равны : </t>
  </si>
  <si>
    <t xml:space="preserve">Стороны  b и с  равны  : </t>
  </si>
  <si>
    <r>
      <t xml:space="preserve">                               </t>
    </r>
    <r>
      <rPr>
        <sz val="14"/>
        <color theme="1"/>
        <rFont val="Calibri"/>
        <family val="2"/>
        <charset val="204"/>
      </rPr>
      <t xml:space="preserve"> </t>
    </r>
  </si>
  <si>
    <t>Возможны 4 варианта:</t>
  </si>
  <si>
    <r>
      <t>1)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Verdana"/>
        <family val="2"/>
        <charset val="204"/>
      </rPr>
      <t>a›b, a*sin B › b – задача не имеет решения;</t>
    </r>
  </si>
  <si>
    <r>
      <t>2)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Verdana"/>
        <family val="2"/>
        <charset val="204"/>
      </rPr>
      <t>a›b, a*sin B = b – задача имеет одно решение: угол А - прямой;</t>
    </r>
  </si>
  <si>
    <r>
      <t>3)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Verdana"/>
        <family val="2"/>
        <charset val="204"/>
      </rPr>
      <t>a›b, a*sin B ‹ b ‹ а – задача имеет два решения: угол А –или острый, или тупой;</t>
    </r>
  </si>
  <si>
    <r>
      <t>4)</t>
    </r>
    <r>
      <rPr>
        <sz val="7"/>
        <color rgb="FFFF0000"/>
        <rFont val="Times New Roman"/>
        <family val="1"/>
        <charset val="204"/>
      </rPr>
      <t xml:space="preserve">  </t>
    </r>
    <r>
      <rPr>
        <sz val="12"/>
        <color rgb="FFFF0000"/>
        <rFont val="Verdana"/>
        <family val="2"/>
        <charset val="204"/>
      </rPr>
      <t>а ≤ b – одно решение: угол А – острый.</t>
    </r>
  </si>
  <si>
    <t>sin =</t>
  </si>
  <si>
    <t>cos =</t>
  </si>
  <si>
    <t>Дельт у</t>
  </si>
  <si>
    <t>Дельт х</t>
  </si>
  <si>
    <t>У тС</t>
  </si>
  <si>
    <t>Х тС</t>
  </si>
  <si>
    <t>У тЕ</t>
  </si>
  <si>
    <t>Х тЕ</t>
  </si>
  <si>
    <t>У тО</t>
  </si>
  <si>
    <t>Х тО</t>
  </si>
  <si>
    <t>12корень0,6,</t>
  </si>
  <si>
    <t>косинус =</t>
  </si>
  <si>
    <t>в =</t>
  </si>
  <si>
    <t>R =</t>
  </si>
  <si>
    <t>Площадь треугольника</t>
  </si>
  <si>
    <t>Радиус вписанной в треугольник окружности равен:</t>
  </si>
  <si>
    <t>4сум.кв</t>
  </si>
  <si>
    <t>3сум.кв</t>
  </si>
  <si>
    <t>S =</t>
  </si>
  <si>
    <t>cos C =</t>
  </si>
  <si>
    <t>sin 180-C =</t>
  </si>
  <si>
    <t>R</t>
  </si>
  <si>
    <t>0твет:</t>
  </si>
  <si>
    <t>Окружность</t>
  </si>
  <si>
    <t>abc =</t>
  </si>
  <si>
    <t>Треугольник</t>
  </si>
  <si>
    <t>x</t>
  </si>
  <si>
    <t>y</t>
  </si>
  <si>
    <t>z</t>
  </si>
  <si>
    <t>C</t>
  </si>
  <si>
    <t>dx</t>
  </si>
  <si>
    <t>dy</t>
  </si>
  <si>
    <t>dz</t>
  </si>
  <si>
    <t>BC</t>
  </si>
  <si>
    <t>AC</t>
  </si>
  <si>
    <t>Расчет отрезков в пространстве</t>
  </si>
  <si>
    <t>по координатам вершин</t>
  </si>
  <si>
    <t>С и м м е т р и я относителльно т. О</t>
  </si>
  <si>
    <t>О</t>
  </si>
  <si>
    <t>В</t>
  </si>
  <si>
    <t>ОВ</t>
  </si>
  <si>
    <t>Д</t>
  </si>
  <si>
    <t>ДО</t>
  </si>
  <si>
    <t>А</t>
  </si>
  <si>
    <t>Σxyz</t>
  </si>
  <si>
    <t>l отрезка</t>
  </si>
  <si>
    <t>АД</t>
  </si>
  <si>
    <t>АО</t>
  </si>
  <si>
    <t>ОС</t>
  </si>
  <si>
    <t>С</t>
  </si>
  <si>
    <t>c=2Rsin C</t>
  </si>
  <si>
    <t>C, рад</t>
  </si>
  <si>
    <t>Катет с</t>
  </si>
  <si>
    <t>tg С =</t>
  </si>
  <si>
    <t>p-a</t>
  </si>
  <si>
    <t>p-b</t>
  </si>
  <si>
    <t>p-c</t>
  </si>
  <si>
    <t>Углы треугольника</t>
  </si>
  <si>
    <t>Расстояние от угла до точки касания окружности</t>
  </si>
  <si>
    <t>АК=АМ</t>
  </si>
  <si>
    <r>
      <t xml:space="preserve">Известно: сторона </t>
    </r>
    <r>
      <rPr>
        <b/>
        <sz val="14"/>
        <color rgb="FFFF0000"/>
        <rFont val="Calibri"/>
        <family val="2"/>
        <charset val="204"/>
      </rPr>
      <t xml:space="preserve">а </t>
    </r>
    <r>
      <rPr>
        <b/>
        <sz val="14"/>
        <color theme="1"/>
        <rFont val="Calibri"/>
        <family val="2"/>
        <charset val="204"/>
      </rPr>
      <t xml:space="preserve"> и два прилегающих угла</t>
    </r>
    <r>
      <rPr>
        <b/>
        <sz val="14"/>
        <color rgb="FFFF0000"/>
        <rFont val="Calibri"/>
        <family val="2"/>
        <charset val="204"/>
      </rPr>
      <t xml:space="preserve"> В</t>
    </r>
    <r>
      <rPr>
        <b/>
        <sz val="14"/>
        <color theme="1"/>
        <rFont val="Calibri"/>
        <family val="2"/>
        <charset val="204"/>
      </rPr>
      <t xml:space="preserve"> и </t>
    </r>
    <r>
      <rPr>
        <b/>
        <sz val="14"/>
        <color rgb="FFFF0000"/>
        <rFont val="Calibri"/>
        <family val="2"/>
        <charset val="204"/>
      </rPr>
      <t>С</t>
    </r>
    <r>
      <rPr>
        <b/>
        <sz val="14"/>
        <color theme="1"/>
        <rFont val="Calibri"/>
        <family val="2"/>
        <charset val="204"/>
      </rPr>
      <t>.</t>
    </r>
  </si>
  <si>
    <t>A</t>
  </si>
  <si>
    <t>B</t>
  </si>
  <si>
    <t>a =</t>
  </si>
  <si>
    <t>2p =</t>
  </si>
  <si>
    <t>p =</t>
  </si>
  <si>
    <r>
      <t xml:space="preserve">Известно: сторона </t>
    </r>
    <r>
      <rPr>
        <b/>
        <sz val="14"/>
        <color rgb="FFFF0000"/>
        <rFont val="Calibri"/>
        <family val="2"/>
        <charset val="204"/>
      </rPr>
      <t xml:space="preserve">а </t>
    </r>
    <r>
      <rPr>
        <b/>
        <sz val="14"/>
        <color theme="1"/>
        <rFont val="Calibri"/>
        <family val="2"/>
        <charset val="204"/>
      </rPr>
      <t xml:space="preserve"> и два угла: один прилегающий </t>
    </r>
    <r>
      <rPr>
        <b/>
        <sz val="14"/>
        <color rgb="FFFF0000"/>
        <rFont val="Calibri"/>
        <family val="2"/>
        <charset val="204"/>
      </rPr>
      <t xml:space="preserve"> В</t>
    </r>
    <r>
      <rPr>
        <b/>
        <sz val="14"/>
        <color theme="1"/>
        <rFont val="Calibri"/>
        <family val="2"/>
        <charset val="204"/>
      </rPr>
      <t xml:space="preserve"> и </t>
    </r>
    <r>
      <rPr>
        <b/>
        <sz val="14"/>
        <color rgb="FFFF0000"/>
        <rFont val="Calibri"/>
        <family val="2"/>
        <charset val="204"/>
      </rPr>
      <t>А</t>
    </r>
    <r>
      <rPr>
        <b/>
        <sz val="14"/>
        <color theme="1"/>
        <rFont val="Calibri"/>
        <family val="2"/>
        <charset val="204"/>
      </rPr>
      <t>.</t>
    </r>
  </si>
  <si>
    <r>
      <t xml:space="preserve">Известно: две стороны </t>
    </r>
    <r>
      <rPr>
        <b/>
        <sz val="12"/>
        <color rgb="FFFF0000"/>
        <rFont val="Arial"/>
        <family val="2"/>
        <charset val="204"/>
      </rPr>
      <t>а</t>
    </r>
    <r>
      <rPr>
        <b/>
        <sz val="12"/>
        <color theme="1"/>
        <rFont val="Arial"/>
        <family val="2"/>
        <charset val="204"/>
      </rPr>
      <t xml:space="preserve"> , </t>
    </r>
    <r>
      <rPr>
        <b/>
        <sz val="12"/>
        <color rgb="FFFF0000"/>
        <rFont val="Arial"/>
        <family val="2"/>
        <charset val="204"/>
      </rPr>
      <t>в</t>
    </r>
    <r>
      <rPr>
        <b/>
        <sz val="12"/>
        <color theme="1"/>
        <rFont val="Arial"/>
        <family val="2"/>
        <charset val="204"/>
      </rPr>
      <t xml:space="preserve"> и угол </t>
    </r>
    <r>
      <rPr>
        <b/>
        <sz val="12"/>
        <color rgb="FFFF0000"/>
        <rFont val="Arial"/>
        <family val="2"/>
        <charset val="204"/>
      </rPr>
      <t>В</t>
    </r>
    <r>
      <rPr>
        <b/>
        <sz val="12"/>
        <color theme="1"/>
        <rFont val="Arial"/>
        <family val="2"/>
        <charset val="204"/>
      </rPr>
      <t>, противолежащий одной из них.</t>
    </r>
  </si>
  <si>
    <t>Формула радиуса описанной окружности треугольника, (R):</t>
  </si>
  <si>
    <t>Площадь правильного треугольника</t>
  </si>
  <si>
    <r>
      <t>S=a^2*</t>
    </r>
    <r>
      <rPr>
        <sz val="12"/>
        <color theme="1"/>
        <rFont val="Calibri"/>
        <family val="2"/>
        <charset val="204"/>
      </rPr>
      <t>√3/4</t>
    </r>
  </si>
  <si>
    <t>b*cosA=</t>
  </si>
  <si>
    <t>b*sinA=</t>
  </si>
  <si>
    <t>арктан</t>
  </si>
  <si>
    <t>рад</t>
  </si>
  <si>
    <t xml:space="preserve">Радиус описанной окружности </t>
  </si>
  <si>
    <t>Точка А</t>
  </si>
  <si>
    <t>Точка В</t>
  </si>
  <si>
    <t>Точка С</t>
  </si>
  <si>
    <t>х</t>
  </si>
  <si>
    <t>у</t>
  </si>
  <si>
    <t>Длины сторон</t>
  </si>
  <si>
    <t>АВ</t>
  </si>
  <si>
    <t>ВС</t>
  </si>
  <si>
    <t>АС</t>
  </si>
  <si>
    <t>Периметр / 2</t>
  </si>
  <si>
    <t>L =</t>
  </si>
  <si>
    <t>под корнем</t>
  </si>
  <si>
    <t>D =</t>
  </si>
  <si>
    <t>BК=BЕ</t>
  </si>
  <si>
    <t>CМ=CЕ</t>
  </si>
  <si>
    <t>ВК</t>
  </si>
  <si>
    <t>ОК</t>
  </si>
  <si>
    <t>АО/ОК</t>
  </si>
  <si>
    <t>ВО/ОЕ</t>
  </si>
  <si>
    <t>ВО</t>
  </si>
  <si>
    <t>ОЕ</t>
  </si>
  <si>
    <t>СО/ОМ</t>
  </si>
  <si>
    <t>СО</t>
  </si>
  <si>
    <t>ОМ</t>
  </si>
  <si>
    <t>Деление сторон биссектрисами</t>
  </si>
  <si>
    <t>АМ</t>
  </si>
  <si>
    <t>МВ</t>
  </si>
  <si>
    <t>АЕ</t>
  </si>
  <si>
    <t>ЕС</t>
  </si>
  <si>
    <t>КС</t>
  </si>
  <si>
    <t>Р(АМО) =</t>
  </si>
  <si>
    <t>Деление биссктрис точкой пересечения</t>
  </si>
  <si>
    <t>Высота на гипотенузу</t>
  </si>
  <si>
    <t>а</t>
  </si>
  <si>
    <t>c*cosA=</t>
  </si>
  <si>
    <t>2*r =</t>
  </si>
  <si>
    <t>tg C =</t>
  </si>
  <si>
    <t>b*sin B =</t>
  </si>
  <si>
    <t>b*sin С =</t>
  </si>
  <si>
    <t>b*cos C =</t>
  </si>
  <si>
    <t>LN</t>
  </si>
  <si>
    <t>SL</t>
  </si>
  <si>
    <t>SP =</t>
  </si>
  <si>
    <t>r =</t>
  </si>
  <si>
    <t>Sr =</t>
  </si>
  <si>
    <t xml:space="preserve">Sr = </t>
  </si>
  <si>
    <t>Деление сторон высотами</t>
  </si>
  <si>
    <t>ВА1</t>
  </si>
  <si>
    <t>А1С</t>
  </si>
  <si>
    <t>АВ1</t>
  </si>
  <si>
    <t>АС1</t>
  </si>
  <si>
    <t>С1В</t>
  </si>
  <si>
    <t>sin A =</t>
  </si>
  <si>
    <t>А радиан</t>
  </si>
  <si>
    <t>А градусов</t>
  </si>
  <si>
    <t>В градусов</t>
  </si>
  <si>
    <t>В1С</t>
  </si>
  <si>
    <t>tg B =</t>
  </si>
</sst>
</file>

<file path=xl/styles.xml><?xml version="1.0" encoding="utf-8"?>
<styleSheet xmlns="http://schemas.openxmlformats.org/spreadsheetml/2006/main">
  <numFmts count="4">
    <numFmt numFmtId="164" formatCode="0.000000"/>
    <numFmt numFmtId="165" formatCode="0.0000"/>
    <numFmt numFmtId="166" formatCode="0.000"/>
    <numFmt numFmtId="167" formatCode="0.0000000"/>
  </numFmts>
  <fonts count="21"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Verdana"/>
      <family val="2"/>
      <charset val="204"/>
    </font>
    <font>
      <sz val="14"/>
      <color theme="1"/>
      <name val="Verdana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sz val="12"/>
      <color rgb="FFFF0000"/>
      <name val="Verdana"/>
      <family val="2"/>
      <charset val="204"/>
    </font>
    <font>
      <sz val="7"/>
      <color rgb="FFFF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dobe Fan Heiti Std B"/>
      <family val="2"/>
      <charset val="128"/>
    </font>
    <font>
      <sz val="12"/>
      <color theme="1"/>
      <name val="Script MT Bold"/>
      <family val="4"/>
    </font>
    <font>
      <b/>
      <sz val="12"/>
      <color theme="1"/>
      <name val="Verdana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0"/>
      <color rgb="FF2E2E2E"/>
      <name val="Arial"/>
      <family val="2"/>
      <charset val="204"/>
    </font>
    <font>
      <b/>
      <sz val="14"/>
      <color theme="1"/>
      <name val="Arial"/>
      <family val="2"/>
      <charset val="204"/>
    </font>
    <font>
      <u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16" fillId="0" borderId="3" xfId="0" applyFont="1" applyBorder="1" applyAlignment="1">
      <alignment horizontal="center"/>
    </xf>
    <xf numFmtId="0" fontId="16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gif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2</xdr:col>
      <xdr:colOff>414068</xdr:colOff>
      <xdr:row>15</xdr:row>
      <xdr:rowOff>103517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2863970"/>
          <a:ext cx="1932317" cy="301924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3</xdr:col>
      <xdr:colOff>112143</xdr:colOff>
      <xdr:row>28</xdr:row>
      <xdr:rowOff>94891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5287992"/>
          <a:ext cx="2441275" cy="491706"/>
        </a:xfrm>
        <a:prstGeom prst="rect">
          <a:avLst/>
        </a:prstGeom>
        <a:noFill/>
      </xdr:spPr>
    </xdr:pic>
    <xdr:clientData/>
  </xdr:twoCellAnchor>
  <xdr:twoCellAnchor>
    <xdr:from>
      <xdr:col>2</xdr:col>
      <xdr:colOff>9525</xdr:colOff>
      <xdr:row>37</xdr:row>
      <xdr:rowOff>76200</xdr:rowOff>
    </xdr:from>
    <xdr:to>
      <xdr:col>4</xdr:col>
      <xdr:colOff>371834</xdr:colOff>
      <xdr:row>39</xdr:row>
      <xdr:rowOff>110706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57350" y="7296150"/>
          <a:ext cx="1952984" cy="41550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4</xdr:col>
      <xdr:colOff>276045</xdr:colOff>
      <xdr:row>49</xdr:row>
      <xdr:rowOff>43132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70008" y="9540815"/>
          <a:ext cx="1846052" cy="439947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284671</xdr:colOff>
      <xdr:row>53</xdr:row>
      <xdr:rowOff>43132</xdr:rowOff>
    </xdr:from>
    <xdr:to>
      <xdr:col>0</xdr:col>
      <xdr:colOff>491705</xdr:colOff>
      <xdr:row>54</xdr:row>
      <xdr:rowOff>60385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4671" y="10415857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1</xdr:col>
      <xdr:colOff>232913</xdr:colOff>
      <xdr:row>53</xdr:row>
      <xdr:rowOff>25880</xdr:rowOff>
    </xdr:from>
    <xdr:to>
      <xdr:col>1</xdr:col>
      <xdr:colOff>439947</xdr:colOff>
      <xdr:row>54</xdr:row>
      <xdr:rowOff>43133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92038" y="10757140"/>
          <a:ext cx="207034" cy="2415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310550</xdr:colOff>
      <xdr:row>53</xdr:row>
      <xdr:rowOff>34506</xdr:rowOff>
    </xdr:from>
    <xdr:to>
      <xdr:col>2</xdr:col>
      <xdr:colOff>508958</xdr:colOff>
      <xdr:row>54</xdr:row>
      <xdr:rowOff>51759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880558" y="10765766"/>
          <a:ext cx="198408" cy="2415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104775</xdr:colOff>
      <xdr:row>58</xdr:row>
      <xdr:rowOff>76200</xdr:rowOff>
    </xdr:from>
    <xdr:to>
      <xdr:col>2</xdr:col>
      <xdr:colOff>734503</xdr:colOff>
      <xdr:row>60</xdr:row>
      <xdr:rowOff>66855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1430000"/>
          <a:ext cx="2277553" cy="37165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2</xdr:col>
      <xdr:colOff>629728</xdr:colOff>
      <xdr:row>68</xdr:row>
      <xdr:rowOff>181155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11947585"/>
          <a:ext cx="2199736" cy="379562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707366</xdr:colOff>
      <xdr:row>76</xdr:row>
      <xdr:rowOff>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59125" y="15053094"/>
          <a:ext cx="1518249" cy="3968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232912</xdr:colOff>
      <xdr:row>114</xdr:row>
      <xdr:rowOff>0</xdr:rowOff>
    </xdr:from>
    <xdr:to>
      <xdr:col>3</xdr:col>
      <xdr:colOff>465107</xdr:colOff>
      <xdr:row>117</xdr:row>
      <xdr:rowOff>8627</xdr:rowOff>
    </xdr:to>
    <xdr:pic>
      <xdr:nvPicPr>
        <xdr:cNvPr id="13" name="Рисунок 12" descr="\sqrt{p(p - a)(p - b)(p - c)}\,\!"/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32912" y="22989396"/>
          <a:ext cx="2838091" cy="60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405441</xdr:colOff>
      <xdr:row>122</xdr:row>
      <xdr:rowOff>0</xdr:rowOff>
    </xdr:from>
    <xdr:to>
      <xdr:col>3</xdr:col>
      <xdr:colOff>508958</xdr:colOff>
      <xdr:row>124</xdr:row>
      <xdr:rowOff>163902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05441" y="24619789"/>
          <a:ext cx="2432649" cy="6642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130</xdr:row>
      <xdr:rowOff>198406</xdr:rowOff>
    </xdr:from>
    <xdr:to>
      <xdr:col>6</xdr:col>
      <xdr:colOff>95789</xdr:colOff>
      <xdr:row>148</xdr:row>
      <xdr:rowOff>9814</xdr:rowOff>
    </xdr:to>
    <xdr:pic>
      <xdr:nvPicPr>
        <xdr:cNvPr id="4" name="Picture 1" descr="http://uztest.ru/plugins/abstracts/27_1.gif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59125" y="26560731"/>
          <a:ext cx="4813539" cy="3382743"/>
        </a:xfrm>
        <a:prstGeom prst="rect">
          <a:avLst/>
        </a:prstGeom>
        <a:noFill/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11</xdr:col>
      <xdr:colOff>362309</xdr:colOff>
      <xdr:row>143</xdr:row>
      <xdr:rowOff>34506</xdr:rowOff>
    </xdr:to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70008" y="7470475"/>
          <a:ext cx="1932316" cy="4313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5</xdr:col>
      <xdr:colOff>269396</xdr:colOff>
      <xdr:row>160</xdr:row>
      <xdr:rowOff>103516</xdr:rowOff>
    </xdr:to>
    <xdr:pic>
      <xdr:nvPicPr>
        <xdr:cNvPr id="6" name="Picture 1" descr="http://www-formula.ru/images/geometry/formula/r_treugol3_f.png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59125" y="31520921"/>
          <a:ext cx="3942271" cy="89714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672860</xdr:colOff>
      <xdr:row>159</xdr:row>
      <xdr:rowOff>0</xdr:rowOff>
    </xdr:to>
    <xdr:pic>
      <xdr:nvPicPr>
        <xdr:cNvPr id="7" name="Picture 1" descr="R = \frac {abc}{4S}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702060" y="31753834"/>
          <a:ext cx="672861" cy="3968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160</xdr:row>
      <xdr:rowOff>103517</xdr:rowOff>
    </xdr:from>
    <xdr:to>
      <xdr:col>8</xdr:col>
      <xdr:colOff>163903</xdr:colOff>
      <xdr:row>162</xdr:row>
      <xdr:rowOff>60385</xdr:rowOff>
    </xdr:to>
    <xdr:pic>
      <xdr:nvPicPr>
        <xdr:cNvPr id="8" name="Picture 2" descr="R = \frac {a}{2\sin\alpha}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702060" y="32452574"/>
          <a:ext cx="923027" cy="353683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11</xdr:col>
      <xdr:colOff>529351</xdr:colOff>
      <xdr:row>159</xdr:row>
      <xdr:rowOff>34506</xdr:rowOff>
    </xdr:to>
    <xdr:pic>
      <xdr:nvPicPr>
        <xdr:cNvPr id="9" name="Picture 3" descr="a/{sinA}=b/{sinB}=c/{sinC}=2R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479102" y="31753834"/>
          <a:ext cx="2146085" cy="43132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12</xdr:col>
      <xdr:colOff>49216</xdr:colOff>
      <xdr:row>163</xdr:row>
      <xdr:rowOff>33607</xdr:rowOff>
    </xdr:to>
    <xdr:pic>
      <xdr:nvPicPr>
        <xdr:cNvPr id="1028" name="Picture 4" descr="R=a/{2sinA}=b/{2sinB}=c/{2sinC}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479102" y="32547464"/>
          <a:ext cx="2425074" cy="43994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276047</xdr:colOff>
      <xdr:row>147</xdr:row>
      <xdr:rowOff>25217</xdr:rowOff>
    </xdr:from>
    <xdr:to>
      <xdr:col>14</xdr:col>
      <xdr:colOff>276585</xdr:colOff>
      <xdr:row>153</xdr:row>
      <xdr:rowOff>49962</xdr:rowOff>
    </xdr:to>
    <xdr:pic>
      <xdr:nvPicPr>
        <xdr:cNvPr id="10" name="Picture 5" descr="http://5terka.com/images/9geom/9cl-111.jpg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0092907" y="29760470"/>
          <a:ext cx="1604512" cy="123424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564633</xdr:colOff>
      <xdr:row>147</xdr:row>
      <xdr:rowOff>34505</xdr:rowOff>
    </xdr:from>
    <xdr:to>
      <xdr:col>19</xdr:col>
      <xdr:colOff>397534</xdr:colOff>
      <xdr:row>155</xdr:row>
      <xdr:rowOff>32805</xdr:rowOff>
    </xdr:to>
    <xdr:pic>
      <xdr:nvPicPr>
        <xdr:cNvPr id="11" name="Picture 6" descr="http://5terka.com/images/9geom/9cl-112.jpg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1899742" y="29769758"/>
          <a:ext cx="3869345" cy="161413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759124</xdr:colOff>
      <xdr:row>157</xdr:row>
      <xdr:rowOff>0</xdr:rowOff>
    </xdr:from>
    <xdr:to>
      <xdr:col>20</xdr:col>
      <xdr:colOff>235394</xdr:colOff>
      <xdr:row>164</xdr:row>
      <xdr:rowOff>180256</xdr:rowOff>
    </xdr:to>
    <xdr:pic>
      <xdr:nvPicPr>
        <xdr:cNvPr id="1031" name="Picture 7" descr="http://5terka.com/images/9geom/9cl-113.jpg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2094233" y="31753834"/>
          <a:ext cx="4262313" cy="1578634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148</xdr:row>
      <xdr:rowOff>0</xdr:rowOff>
    </xdr:from>
    <xdr:to>
      <xdr:col>24</xdr:col>
      <xdr:colOff>654778</xdr:colOff>
      <xdr:row>155</xdr:row>
      <xdr:rowOff>92195</xdr:rowOff>
    </xdr:to>
    <xdr:pic>
      <xdr:nvPicPr>
        <xdr:cNvPr id="14" name="Picture 8" descr="http://5terka.com/images/9geom/9cl-114.jpg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6623102" y="29933660"/>
          <a:ext cx="2932151" cy="1509623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158</xdr:row>
      <xdr:rowOff>0</xdr:rowOff>
    </xdr:from>
    <xdr:to>
      <xdr:col>25</xdr:col>
      <xdr:colOff>320208</xdr:colOff>
      <xdr:row>161</xdr:row>
      <xdr:rowOff>60385</xdr:rowOff>
    </xdr:to>
    <xdr:pic>
      <xdr:nvPicPr>
        <xdr:cNvPr id="1033" name="Picture 9" descr="http://5terka.com/images/9geom/9cl-115.jpg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6623102" y="31952242"/>
          <a:ext cx="3356706" cy="655607"/>
        </a:xfrm>
        <a:prstGeom prst="rect">
          <a:avLst/>
        </a:prstGeom>
        <a:noFill/>
      </xdr:spPr>
    </xdr:pic>
    <xdr:clientData/>
  </xdr:twoCellAnchor>
  <xdr:twoCellAnchor>
    <xdr:from>
      <xdr:col>3</xdr:col>
      <xdr:colOff>714375</xdr:colOff>
      <xdr:row>53</xdr:row>
      <xdr:rowOff>38100</xdr:rowOff>
    </xdr:from>
    <xdr:to>
      <xdr:col>4</xdr:col>
      <xdr:colOff>64159</xdr:colOff>
      <xdr:row>54</xdr:row>
      <xdr:rowOff>55353</xdr:rowOff>
    </xdr:to>
    <xdr:pic>
      <xdr:nvPicPr>
        <xdr:cNvPr id="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228975" y="10410825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5</xdr:col>
      <xdr:colOff>800100</xdr:colOff>
      <xdr:row>53</xdr:row>
      <xdr:rowOff>28575</xdr:rowOff>
    </xdr:from>
    <xdr:to>
      <xdr:col>6</xdr:col>
      <xdr:colOff>35584</xdr:colOff>
      <xdr:row>54</xdr:row>
      <xdr:rowOff>45828</xdr:rowOff>
    </xdr:to>
    <xdr:pic>
      <xdr:nvPicPr>
        <xdr:cNvPr id="2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10175" y="10401300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7</xdr:col>
      <xdr:colOff>647700</xdr:colOff>
      <xdr:row>53</xdr:row>
      <xdr:rowOff>0</xdr:rowOff>
    </xdr:from>
    <xdr:to>
      <xdr:col>8</xdr:col>
      <xdr:colOff>93633</xdr:colOff>
      <xdr:row>54</xdr:row>
      <xdr:rowOff>17253</xdr:rowOff>
    </xdr:to>
    <xdr:pic>
      <xdr:nvPicPr>
        <xdr:cNvPr id="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81800" y="10372725"/>
          <a:ext cx="198408" cy="24585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93"/>
  <sheetViews>
    <sheetView tabSelected="1" topLeftCell="A31" workbookViewId="0">
      <selection activeCell="C53" sqref="C53"/>
    </sheetView>
  </sheetViews>
  <sheetFormatPr defaultColWidth="8.77734375" defaultRowHeight="15"/>
  <cols>
    <col min="1" max="1" width="9.6640625" style="16" customWidth="1"/>
    <col min="2" max="2" width="10.44140625" style="16" customWidth="1"/>
    <col min="3" max="3" width="10.109375" style="16" customWidth="1"/>
    <col min="4" max="4" width="10" style="16" customWidth="1"/>
    <col min="5" max="6" width="12.109375" style="16" customWidth="1"/>
    <col min="7" max="8" width="8.77734375" style="16"/>
    <col min="9" max="9" width="10.33203125" style="16" customWidth="1"/>
    <col min="10" max="10" width="9.44140625" style="16" customWidth="1"/>
    <col min="11" max="11" width="9.21875" style="16" customWidth="1"/>
    <col min="12" max="12" width="8.77734375" style="16"/>
    <col min="13" max="13" width="9.77734375" style="16" customWidth="1"/>
    <col min="14" max="14" width="8.77734375" style="16"/>
    <col min="15" max="15" width="9.21875" style="16" customWidth="1"/>
    <col min="16" max="16" width="8.77734375" style="16"/>
    <col min="17" max="17" width="10.21875" style="16" customWidth="1"/>
    <col min="18" max="18" width="8.44140625" style="16" customWidth="1"/>
    <col min="19" max="19" width="10" style="16" bestFit="1" customWidth="1"/>
    <col min="20" max="16384" width="8.77734375" style="16"/>
  </cols>
  <sheetData>
    <row r="1" spans="1:34">
      <c r="A1" s="2" t="s">
        <v>0</v>
      </c>
      <c r="B1" s="2" t="s">
        <v>1</v>
      </c>
      <c r="C1" s="2" t="s">
        <v>2</v>
      </c>
      <c r="D1" s="16" t="s">
        <v>3</v>
      </c>
      <c r="E1" s="16" t="s">
        <v>4</v>
      </c>
      <c r="F1" s="16" t="s">
        <v>5</v>
      </c>
      <c r="H1" s="16">
        <v>2</v>
      </c>
      <c r="I1" s="16">
        <v>6</v>
      </c>
      <c r="J1" s="16" t="s">
        <v>43</v>
      </c>
      <c r="K1" s="16" t="s">
        <v>44</v>
      </c>
      <c r="R1" s="2" t="s">
        <v>0</v>
      </c>
      <c r="S1" s="2" t="s">
        <v>1</v>
      </c>
      <c r="T1" s="2" t="s">
        <v>2</v>
      </c>
      <c r="U1" s="42" t="s">
        <v>3</v>
      </c>
      <c r="V1" s="42" t="s">
        <v>4</v>
      </c>
      <c r="W1" s="42" t="s">
        <v>5</v>
      </c>
      <c r="X1" s="42"/>
      <c r="Y1" s="42"/>
      <c r="AA1" s="2" t="s">
        <v>0</v>
      </c>
      <c r="AB1" s="2" t="s">
        <v>1</v>
      </c>
      <c r="AC1" s="2" t="s">
        <v>2</v>
      </c>
      <c r="AD1" s="42" t="s">
        <v>3</v>
      </c>
      <c r="AE1" s="42" t="s">
        <v>4</v>
      </c>
      <c r="AF1" s="42" t="s">
        <v>5</v>
      </c>
      <c r="AG1" s="42"/>
      <c r="AH1" s="42"/>
    </row>
    <row r="2" spans="1:34" ht="15.75">
      <c r="A2" s="72">
        <v>5</v>
      </c>
      <c r="B2" s="72">
        <v>6</v>
      </c>
      <c r="C2" s="65">
        <v>4</v>
      </c>
      <c r="D2" s="16">
        <f>E2/2</f>
        <v>7.5</v>
      </c>
      <c r="E2" s="16">
        <f>A2+B2+C2</f>
        <v>15</v>
      </c>
      <c r="F2" s="59">
        <f>SQRT(D2*(D2-A2)*(D2-B2)*(D2-C2))</f>
        <v>9.9215674164922145</v>
      </c>
      <c r="I2" s="16">
        <f>SQRT(I1)</f>
        <v>2.4494897427831779</v>
      </c>
      <c r="J2" s="16">
        <v>2</v>
      </c>
      <c r="K2" s="16">
        <f>SQRT(J2)</f>
        <v>1.4142135623730951</v>
      </c>
      <c r="M2" s="31" t="s">
        <v>132</v>
      </c>
      <c r="N2" s="31" t="s">
        <v>133</v>
      </c>
      <c r="O2" s="31" t="s">
        <v>73</v>
      </c>
      <c r="R2" s="2">
        <v>5</v>
      </c>
      <c r="S2" s="15">
        <v>7</v>
      </c>
      <c r="T2" s="15">
        <v>10</v>
      </c>
      <c r="U2" s="42">
        <f>V2/2</f>
        <v>11</v>
      </c>
      <c r="V2" s="42">
        <f>R2+S2+T2</f>
        <v>22</v>
      </c>
      <c r="W2" s="1">
        <f>SQRT(U2*(U2-R2)*(U2-S2)*(U2-T2))</f>
        <v>16.248076809271922</v>
      </c>
      <c r="X2" s="42"/>
      <c r="Y2" s="42"/>
      <c r="AA2" s="2">
        <v>7</v>
      </c>
      <c r="AB2" s="15">
        <v>9</v>
      </c>
      <c r="AC2" s="15">
        <v>14</v>
      </c>
      <c r="AD2" s="42">
        <f>AE2/2</f>
        <v>15</v>
      </c>
      <c r="AE2" s="42">
        <f>AA2+AB2+AC2</f>
        <v>30</v>
      </c>
      <c r="AF2" s="1">
        <f>SQRT(AD2*(AD2-AA2)*(AD2-AB2)*(AD2-AC2))</f>
        <v>26.832815729997478</v>
      </c>
      <c r="AG2" s="42"/>
      <c r="AH2" s="42"/>
    </row>
    <row r="3" spans="1:34">
      <c r="A3" s="16">
        <f>A2*A2</f>
        <v>25</v>
      </c>
      <c r="B3" s="47">
        <f t="shared" ref="B3:C3" si="0">B2*B2</f>
        <v>36</v>
      </c>
      <c r="C3" s="47">
        <f t="shared" si="0"/>
        <v>16</v>
      </c>
      <c r="D3" s="16">
        <f>A3+B3-C3</f>
        <v>45</v>
      </c>
      <c r="I3" s="16">
        <f>H1/I2</f>
        <v>0.81649658092772615</v>
      </c>
      <c r="N3" s="16">
        <f>RADIANS(I4/2)</f>
        <v>0</v>
      </c>
      <c r="O3" s="16">
        <f>SIN(N3)</f>
        <v>0</v>
      </c>
      <c r="R3" s="42"/>
      <c r="S3" s="42"/>
      <c r="T3" s="42"/>
      <c r="U3" s="42"/>
      <c r="V3" s="42"/>
      <c r="W3" s="42"/>
      <c r="X3" s="42"/>
      <c r="Y3" s="42"/>
      <c r="AA3" s="42"/>
      <c r="AB3" s="42"/>
      <c r="AC3" s="42"/>
      <c r="AD3" s="42"/>
      <c r="AE3" s="42"/>
      <c r="AF3" s="42"/>
      <c r="AG3" s="42"/>
      <c r="AH3" s="42"/>
    </row>
    <row r="4" spans="1:34">
      <c r="M4" s="16">
        <f>2*H2*O3</f>
        <v>0</v>
      </c>
      <c r="R4" s="42"/>
      <c r="S4" s="42"/>
      <c r="T4" s="42"/>
      <c r="U4" s="42"/>
      <c r="V4" s="42"/>
      <c r="W4" s="42"/>
      <c r="X4" s="42"/>
      <c r="Y4" s="42"/>
      <c r="AA4" s="42"/>
      <c r="AB4" s="42"/>
      <c r="AC4" s="42"/>
      <c r="AD4" s="42"/>
      <c r="AE4" s="42"/>
      <c r="AF4" s="42"/>
      <c r="AG4" s="42"/>
      <c r="AH4" s="42"/>
    </row>
    <row r="5" spans="1:34">
      <c r="A5" s="16" t="s">
        <v>28</v>
      </c>
      <c r="B5" s="16">
        <f>(B2*B2+C2*C2-A2*A2)/(2*B2*C2)</f>
        <v>0.5625</v>
      </c>
      <c r="C5" s="16" t="s">
        <v>30</v>
      </c>
      <c r="D5" s="16">
        <f>(C2*C2+A2*A2-B2*B2)/(2*C2*A2)</f>
        <v>0.125</v>
      </c>
      <c r="E5" s="16" t="s">
        <v>32</v>
      </c>
      <c r="F5" s="16">
        <f>(A2*A2+B2*B2-C2*C2)/(2*A2*B2)</f>
        <v>0.75</v>
      </c>
      <c r="H5" s="16" t="s">
        <v>6</v>
      </c>
      <c r="J5" s="16" t="s">
        <v>7</v>
      </c>
      <c r="R5" s="42" t="s">
        <v>28</v>
      </c>
      <c r="S5" s="42">
        <f>(S2*S2+T2*T2-R2*R2)/(2*S2*T2)</f>
        <v>0.88571428571428568</v>
      </c>
      <c r="T5" s="42" t="s">
        <v>30</v>
      </c>
      <c r="U5" s="42">
        <f>(T2*T2+R2*R2-S2*S2)/(2*T2*R2)</f>
        <v>0.76</v>
      </c>
      <c r="V5" s="42" t="s">
        <v>32</v>
      </c>
      <c r="W5" s="42">
        <f>(R2*R2+S2*S2-T2*T2)/(2*R2*S2)</f>
        <v>-0.37142857142857144</v>
      </c>
      <c r="X5" s="42"/>
      <c r="Y5" s="42" t="s">
        <v>6</v>
      </c>
      <c r="AA5" s="42" t="s">
        <v>28</v>
      </c>
      <c r="AB5" s="42">
        <f>(AB2*AB2+AC2*AC2-AA2*AA2)/(2*AB2*AC2)</f>
        <v>0.90476190476190477</v>
      </c>
      <c r="AC5" s="42" t="s">
        <v>30</v>
      </c>
      <c r="AD5" s="42">
        <f>(AC2*AC2+AA2*AA2-AB2*AB2)/(2*AC2*AA2)</f>
        <v>0.83673469387755106</v>
      </c>
      <c r="AE5" s="42" t="s">
        <v>32</v>
      </c>
      <c r="AF5" s="42">
        <f>(AA2*AA2+AB2*AB2-AC2*AC2)/(2*AA2*AB2)</f>
        <v>-0.52380952380952384</v>
      </c>
      <c r="AG5" s="42"/>
      <c r="AH5" s="42" t="s">
        <v>6</v>
      </c>
    </row>
    <row r="6" spans="1:34" ht="15.75" thickBot="1">
      <c r="A6" s="16" t="s">
        <v>26</v>
      </c>
      <c r="B6" s="16">
        <f>ACOS(B5)</f>
        <v>0.97338991014954634</v>
      </c>
      <c r="C6" s="16" t="s">
        <v>27</v>
      </c>
      <c r="D6" s="16">
        <f>ACOS(D5)</f>
        <v>1.4454684956268311</v>
      </c>
      <c r="E6" s="16" t="s">
        <v>33</v>
      </c>
      <c r="F6" s="16">
        <f>ACOS(F5)</f>
        <v>0.72273424781341555</v>
      </c>
      <c r="G6" s="16">
        <f>B6+D6+F6</f>
        <v>3.1415926535897931</v>
      </c>
      <c r="H6" s="16">
        <f>PI()</f>
        <v>3.1415926535897931</v>
      </c>
      <c r="J6" s="16">
        <f>A2*D9</f>
        <v>4.9607837082461073</v>
      </c>
      <c r="R6" s="42" t="s">
        <v>26</v>
      </c>
      <c r="S6" s="42">
        <f>ACOS(S5)</f>
        <v>0.48276592332573398</v>
      </c>
      <c r="T6" s="42" t="s">
        <v>27</v>
      </c>
      <c r="U6" s="42">
        <f>ACOS(U5)</f>
        <v>0.70748321177934292</v>
      </c>
      <c r="V6" s="42" t="s">
        <v>33</v>
      </c>
      <c r="W6" s="42">
        <f>ACOS(W5)</f>
        <v>1.9513435184847161</v>
      </c>
      <c r="X6" s="42">
        <f>S6+U6+W6</f>
        <v>3.1415926535897931</v>
      </c>
      <c r="Y6" s="42">
        <f>PI()</f>
        <v>3.1415926535897931</v>
      </c>
      <c r="AA6" s="42" t="s">
        <v>26</v>
      </c>
      <c r="AB6" s="42">
        <f>ACOS(AB5)</f>
        <v>0.43997595479091878</v>
      </c>
      <c r="AC6" s="42" t="s">
        <v>27</v>
      </c>
      <c r="AD6" s="42">
        <f>ACOS(AD5)</f>
        <v>0.57950340287209479</v>
      </c>
      <c r="AE6" s="42" t="s">
        <v>33</v>
      </c>
      <c r="AF6" s="42">
        <f>ACOS(AF5)</f>
        <v>2.1221132959267792</v>
      </c>
      <c r="AG6" s="42">
        <f>AB6+AD6+AF6</f>
        <v>3.1415926535897927</v>
      </c>
      <c r="AH6" s="42">
        <f>PI()</f>
        <v>3.1415926535897931</v>
      </c>
    </row>
    <row r="7" spans="1:34" ht="15.75" thickBot="1">
      <c r="A7" s="16" t="s">
        <v>29</v>
      </c>
      <c r="B7" s="16">
        <f>DEGREES(B6)</f>
        <v>55.771133672187418</v>
      </c>
      <c r="C7" s="16" t="s">
        <v>31</v>
      </c>
      <c r="D7" s="16">
        <f>DEGREES(D6)</f>
        <v>82.819244218541712</v>
      </c>
      <c r="E7" s="16" t="s">
        <v>34</v>
      </c>
      <c r="F7" s="16">
        <f>DEGREES(F6)</f>
        <v>41.409622109270856</v>
      </c>
      <c r="G7" s="16">
        <f>B7+D7+F7</f>
        <v>180</v>
      </c>
      <c r="H7" s="19" t="s">
        <v>65</v>
      </c>
      <c r="K7" s="106" t="s">
        <v>151</v>
      </c>
      <c r="L7" s="107"/>
      <c r="M7" s="107"/>
      <c r="N7" s="108"/>
      <c r="O7" s="16">
        <v>6</v>
      </c>
      <c r="R7" s="42" t="s">
        <v>29</v>
      </c>
      <c r="S7" s="42">
        <f>DEGREES(S6)</f>
        <v>27.660449899300861</v>
      </c>
      <c r="T7" s="42" t="s">
        <v>31</v>
      </c>
      <c r="U7" s="42">
        <f>DEGREES(U6)</f>
        <v>40.535802111316556</v>
      </c>
      <c r="V7" s="42" t="s">
        <v>34</v>
      </c>
      <c r="W7" s="42">
        <f>DEGREES(W6)</f>
        <v>111.80374798938257</v>
      </c>
      <c r="X7" s="42">
        <f>S7+U7+W7</f>
        <v>180</v>
      </c>
      <c r="Y7" s="19" t="s">
        <v>65</v>
      </c>
      <c r="AA7" s="42" t="s">
        <v>29</v>
      </c>
      <c r="AB7" s="42">
        <f>DEGREES(AB6)</f>
        <v>25.208765296758358</v>
      </c>
      <c r="AC7" s="42" t="s">
        <v>31</v>
      </c>
      <c r="AD7" s="42">
        <f>DEGREES(AD6)</f>
        <v>33.203099198040462</v>
      </c>
      <c r="AE7" s="42" t="s">
        <v>34</v>
      </c>
      <c r="AF7" s="42">
        <f>DEGREES(AF6)</f>
        <v>121.58813550520117</v>
      </c>
      <c r="AG7" s="42">
        <f>AB7+AD7+AF7</f>
        <v>180</v>
      </c>
      <c r="AH7" s="19" t="s">
        <v>65</v>
      </c>
    </row>
    <row r="8" spans="1:34" ht="15.75">
      <c r="C8" s="95" t="s">
        <v>215</v>
      </c>
      <c r="D8" s="16">
        <f>TAN(D6)</f>
        <v>7.9372539331937642</v>
      </c>
      <c r="E8" s="83" t="s">
        <v>196</v>
      </c>
      <c r="F8" s="16">
        <f>B2*F9</f>
        <v>3.9686269665968856</v>
      </c>
      <c r="K8" s="45" t="s">
        <v>53</v>
      </c>
      <c r="L8" s="45">
        <v>1</v>
      </c>
      <c r="N8" s="1">
        <v>6</v>
      </c>
      <c r="O8" s="16">
        <f>O7*O7</f>
        <v>36</v>
      </c>
      <c r="R8" s="42"/>
      <c r="S8" s="42"/>
      <c r="T8" s="42"/>
      <c r="U8" s="42"/>
      <c r="V8" s="42"/>
      <c r="W8" s="42"/>
      <c r="X8" s="42"/>
      <c r="Y8" s="42"/>
      <c r="AA8" s="42"/>
      <c r="AB8" s="42"/>
      <c r="AC8" s="42"/>
      <c r="AD8" s="42"/>
      <c r="AE8" s="42"/>
      <c r="AF8" s="42"/>
      <c r="AG8" s="42"/>
      <c r="AH8" s="42"/>
    </row>
    <row r="9" spans="1:34" ht="15.75">
      <c r="A9" s="16" t="s">
        <v>23</v>
      </c>
      <c r="B9" s="16">
        <f>SIN(B6)</f>
        <v>0.82679728470768454</v>
      </c>
      <c r="C9" s="16" t="s">
        <v>24</v>
      </c>
      <c r="D9" s="16">
        <f>SIN(D6)</f>
        <v>0.99215674164922141</v>
      </c>
      <c r="E9" s="83" t="s">
        <v>25</v>
      </c>
      <c r="F9" s="16">
        <f>SIN(F6)</f>
        <v>0.66143782776614757</v>
      </c>
      <c r="K9" s="17" t="s">
        <v>152</v>
      </c>
      <c r="L9" s="18">
        <f>L8*L8*SQRT(3)/4</f>
        <v>0.4330127018922193</v>
      </c>
      <c r="N9" s="16">
        <f>N8*N8</f>
        <v>36</v>
      </c>
      <c r="O9" s="16">
        <f>N9+O8</f>
        <v>72</v>
      </c>
      <c r="P9" s="16">
        <f>SQRT(O9)</f>
        <v>8.4852813742385695</v>
      </c>
      <c r="R9" s="42" t="s">
        <v>23</v>
      </c>
      <c r="S9" s="42">
        <f>SIN(S6)</f>
        <v>0.46423076597919766</v>
      </c>
      <c r="T9" s="42" t="s">
        <v>24</v>
      </c>
      <c r="U9" s="42">
        <f>SIN(U6)</f>
        <v>0.64992307237087676</v>
      </c>
      <c r="V9" s="42" t="s">
        <v>25</v>
      </c>
      <c r="W9" s="42">
        <f>SIN(W6)</f>
        <v>0.92846153195839554</v>
      </c>
      <c r="X9" s="42" t="s">
        <v>53</v>
      </c>
      <c r="Y9" s="42">
        <f>AA28</f>
        <v>0</v>
      </c>
      <c r="AA9" s="42" t="s">
        <v>23</v>
      </c>
      <c r="AB9" s="42">
        <f>SIN(AB6)</f>
        <v>0.42591770999995981</v>
      </c>
      <c r="AC9" s="42" t="s">
        <v>24</v>
      </c>
      <c r="AD9" s="42">
        <f>SIN(AD6)</f>
        <v>0.54760848428566267</v>
      </c>
      <c r="AE9" s="42" t="s">
        <v>25</v>
      </c>
      <c r="AF9" s="42">
        <f>SIN(AF6)</f>
        <v>0.85183541999991996</v>
      </c>
      <c r="AG9" s="42" t="s">
        <v>53</v>
      </c>
      <c r="AH9" s="42">
        <f>AJ28</f>
        <v>0</v>
      </c>
    </row>
    <row r="10" spans="1:34">
      <c r="C10" s="83" t="s">
        <v>195</v>
      </c>
      <c r="D10" s="16">
        <f>B2*D9</f>
        <v>5.952940449895328</v>
      </c>
      <c r="E10" s="82" t="s">
        <v>194</v>
      </c>
      <c r="F10" s="16">
        <f>F9/F5</f>
        <v>0.88191710368819676</v>
      </c>
      <c r="I10" s="81"/>
      <c r="K10" s="16">
        <v>3</v>
      </c>
      <c r="O10" s="19" t="s">
        <v>15</v>
      </c>
      <c r="P10" s="16">
        <f>P9*2/3</f>
        <v>5.6568542494923797</v>
      </c>
      <c r="R10" s="42"/>
      <c r="S10" s="42"/>
      <c r="T10" s="42"/>
      <c r="U10" s="42"/>
      <c r="V10" s="42"/>
      <c r="W10" s="42"/>
      <c r="X10" s="42" t="s">
        <v>54</v>
      </c>
      <c r="Y10" s="42">
        <f>AA29</f>
        <v>0</v>
      </c>
      <c r="AA10" s="42"/>
      <c r="AB10" s="42"/>
      <c r="AC10" s="42"/>
      <c r="AD10" s="42"/>
      <c r="AE10" s="42"/>
      <c r="AF10" s="42"/>
      <c r="AG10" s="42" t="s">
        <v>54</v>
      </c>
      <c r="AH10" s="42">
        <f>AJ29</f>
        <v>0</v>
      </c>
    </row>
    <row r="11" spans="1:34">
      <c r="A11" s="43" t="s">
        <v>153</v>
      </c>
      <c r="B11" s="16">
        <f>B2*B5</f>
        <v>3.375</v>
      </c>
      <c r="C11" s="16" t="s">
        <v>64</v>
      </c>
      <c r="D11" s="10">
        <f>0.5*A2*C2*D9</f>
        <v>9.9215674164922145</v>
      </c>
      <c r="E11" s="16">
        <f>(1/2)*B2*A2*F9</f>
        <v>9.9215674164922127</v>
      </c>
      <c r="I11" s="81"/>
      <c r="K11" s="16">
        <f>SQRT(K10)</f>
        <v>1.7320508075688772</v>
      </c>
      <c r="L11" s="16">
        <f>L8*L8/4</f>
        <v>0.25</v>
      </c>
      <c r="M11" s="16">
        <f>K11*L11</f>
        <v>0.4330127018922193</v>
      </c>
      <c r="O11" s="19" t="s">
        <v>16</v>
      </c>
      <c r="P11" s="16">
        <f>P9/3</f>
        <v>2.8284271247461898</v>
      </c>
      <c r="R11" s="42"/>
      <c r="S11" s="42"/>
      <c r="T11" s="42" t="s">
        <v>64</v>
      </c>
      <c r="U11" s="1">
        <f>0.5*R2*T2*U9</f>
        <v>16.248076809271918</v>
      </c>
      <c r="V11" s="42"/>
      <c r="W11" s="42"/>
      <c r="X11" s="42" t="s">
        <v>55</v>
      </c>
      <c r="Y11" s="42">
        <f>AA30</f>
        <v>0</v>
      </c>
      <c r="AA11" s="42"/>
      <c r="AB11" s="42"/>
      <c r="AC11" s="42" t="s">
        <v>64</v>
      </c>
      <c r="AD11" s="1">
        <f>0.5*AA2*AC2*AD9</f>
        <v>26.832815729997471</v>
      </c>
      <c r="AE11" s="42"/>
      <c r="AF11" s="42"/>
      <c r="AG11" s="42" t="s">
        <v>55</v>
      </c>
      <c r="AH11" s="42">
        <f>AJ30</f>
        <v>0</v>
      </c>
    </row>
    <row r="12" spans="1:34">
      <c r="A12" s="43" t="s">
        <v>154</v>
      </c>
      <c r="B12" s="16">
        <f>B2*B9</f>
        <v>4.9607837082461073</v>
      </c>
      <c r="E12" s="77" t="s">
        <v>192</v>
      </c>
      <c r="F12" s="16">
        <f>C2*B5</f>
        <v>2.25</v>
      </c>
      <c r="M12" s="16">
        <v>9</v>
      </c>
      <c r="O12" s="16" t="s">
        <v>35</v>
      </c>
      <c r="P12" s="16">
        <f>P9/2</f>
        <v>4.2426406871192848</v>
      </c>
    </row>
    <row r="13" spans="1:34" ht="18.75">
      <c r="A13" s="105" t="s">
        <v>8</v>
      </c>
      <c r="B13" s="105"/>
      <c r="C13" s="105"/>
      <c r="D13" s="105"/>
      <c r="E13" s="105"/>
      <c r="F13" s="16">
        <f>SQRT(11/4)</f>
        <v>1.6583123951776999</v>
      </c>
      <c r="I13" s="16">
        <f>PI()</f>
        <v>3.1415926535897931</v>
      </c>
      <c r="M13" s="16">
        <f>M11*M12</f>
        <v>3.8971143170299736</v>
      </c>
    </row>
    <row r="14" spans="1:34" ht="18.75">
      <c r="A14" s="105" t="s">
        <v>9</v>
      </c>
      <c r="B14" s="105"/>
      <c r="C14" s="105"/>
      <c r="D14" s="105"/>
      <c r="E14" s="105"/>
      <c r="J14" s="27"/>
    </row>
    <row r="15" spans="1:34" ht="18" customHeight="1">
      <c r="D15" s="24" t="s">
        <v>0</v>
      </c>
      <c r="E15" s="24" t="s">
        <v>1</v>
      </c>
      <c r="F15" s="67" t="s">
        <v>2</v>
      </c>
      <c r="G15" s="24" t="s">
        <v>10</v>
      </c>
      <c r="H15" s="16" t="s">
        <v>11</v>
      </c>
      <c r="I15" s="16" t="s">
        <v>101</v>
      </c>
      <c r="J15" s="16">
        <v>5</v>
      </c>
      <c r="K15" s="20">
        <v>2.5</v>
      </c>
      <c r="N15" s="1">
        <v>4</v>
      </c>
      <c r="O15" s="16">
        <v>6</v>
      </c>
      <c r="Q15" s="16" t="s">
        <v>17</v>
      </c>
      <c r="R15" s="16">
        <f>D16*SIN((PI()-H16))</f>
        <v>13.680805733026755</v>
      </c>
      <c r="T15" s="16">
        <v>40</v>
      </c>
      <c r="U15" s="16">
        <v>120</v>
      </c>
      <c r="V15" s="16">
        <v>20</v>
      </c>
      <c r="W15" s="16">
        <v>9</v>
      </c>
      <c r="X15" s="16">
        <f>W15*T18/U18</f>
        <v>6.6800447907170319</v>
      </c>
      <c r="Y15" s="16">
        <f>W15*V18/U18</f>
        <v>3.554377592712286</v>
      </c>
    </row>
    <row r="16" spans="1:34" ht="22.5" customHeight="1">
      <c r="D16" s="72">
        <v>40</v>
      </c>
      <c r="E16" s="72">
        <v>120</v>
      </c>
      <c r="F16" s="87">
        <f>SQRT(D19+E19-F19)</f>
        <v>83.540115157062601</v>
      </c>
      <c r="G16" s="71">
        <v>20</v>
      </c>
      <c r="H16" s="28">
        <f>RADIANS(G16)</f>
        <v>0.3490658503988659</v>
      </c>
      <c r="I16" s="5">
        <f>COS(H16)</f>
        <v>0.93969262078590843</v>
      </c>
      <c r="J16" s="16">
        <f>J15*J15</f>
        <v>25</v>
      </c>
      <c r="K16" s="16">
        <f>K15*K15</f>
        <v>6.25</v>
      </c>
      <c r="N16" s="16">
        <f>N15*N15</f>
        <v>16</v>
      </c>
      <c r="O16" s="16">
        <f>O15*O15</f>
        <v>36</v>
      </c>
      <c r="T16" s="16">
        <f>RADIANS(T15)</f>
        <v>0.69813170079773179</v>
      </c>
      <c r="U16" s="16">
        <f>RADIANS(U15)</f>
        <v>2.0943951023931953</v>
      </c>
      <c r="V16" s="16">
        <f>RADIANS(V15)</f>
        <v>0.3490658503988659</v>
      </c>
    </row>
    <row r="17" spans="1:22">
      <c r="F17" s="16">
        <f>F16*F16</f>
        <v>6978.9508404552807</v>
      </c>
      <c r="K17" s="16">
        <f>J16-K16</f>
        <v>18.75</v>
      </c>
      <c r="L17" s="16">
        <f>SQRT(K17)</f>
        <v>4.3301270189221936</v>
      </c>
      <c r="O17" s="16">
        <f>N16+O16</f>
        <v>52</v>
      </c>
      <c r="P17" s="16">
        <f>SQRT(O17)</f>
        <v>7.2111025509279782</v>
      </c>
      <c r="Q17" s="16" t="s">
        <v>100</v>
      </c>
      <c r="R17" s="16">
        <f>(1/2)*R15*E16</f>
        <v>820.84834398160535</v>
      </c>
      <c r="T17" s="16" t="s">
        <v>82</v>
      </c>
    </row>
    <row r="18" spans="1:22">
      <c r="A18" s="16">
        <f>P17</f>
        <v>7.2111025509279782</v>
      </c>
      <c r="B18" s="16">
        <f>P9/2</f>
        <v>4.2426406871192848</v>
      </c>
      <c r="D18" s="16" t="s">
        <v>12</v>
      </c>
      <c r="E18" s="16" t="s">
        <v>13</v>
      </c>
      <c r="F18" s="16" t="s">
        <v>14</v>
      </c>
      <c r="G18" s="10"/>
      <c r="H18" s="19" t="s">
        <v>62</v>
      </c>
      <c r="I18" s="79" t="s">
        <v>100</v>
      </c>
      <c r="J18" s="16">
        <f>D16*F22*F16/2</f>
        <v>820.84834398160535</v>
      </c>
      <c r="K18" s="19" t="s">
        <v>15</v>
      </c>
      <c r="L18" s="16">
        <f>L17*2/3</f>
        <v>2.8867513459481291</v>
      </c>
      <c r="O18" s="19" t="s">
        <v>15</v>
      </c>
      <c r="P18" s="16">
        <f>P17*2/3</f>
        <v>4.8074017006186525</v>
      </c>
      <c r="T18" s="16">
        <f>SIN(T16)</f>
        <v>0.64278760968653925</v>
      </c>
      <c r="U18" s="16">
        <f>SIN(U16)</f>
        <v>0.86602540378443871</v>
      </c>
      <c r="V18" s="16">
        <f>SIN(V16)</f>
        <v>0.34202014332566871</v>
      </c>
    </row>
    <row r="19" spans="1:22">
      <c r="A19" s="16" t="s">
        <v>17</v>
      </c>
      <c r="B19" s="16">
        <f>SQRT(A18*A18-B18*B18)</f>
        <v>5.8309518948453007</v>
      </c>
      <c r="D19" s="16">
        <f>D16*D16</f>
        <v>1600</v>
      </c>
      <c r="E19" s="16">
        <f>E16*E16</f>
        <v>14400</v>
      </c>
      <c r="F19" s="16">
        <f>2*D16*E16*I16</f>
        <v>9021.0491595447202</v>
      </c>
      <c r="G19" s="16">
        <f>-F19+E19+D19</f>
        <v>6978.9508404552798</v>
      </c>
      <c r="H19" s="16">
        <f>G16+F24+C24</f>
        <v>180.00000000000003</v>
      </c>
      <c r="K19" s="19" t="s">
        <v>16</v>
      </c>
      <c r="L19" s="16">
        <f>L17/3</f>
        <v>1.4433756729740645</v>
      </c>
      <c r="O19" s="19" t="s">
        <v>16</v>
      </c>
      <c r="P19" s="16">
        <f>P17/3</f>
        <v>2.4037008503093262</v>
      </c>
    </row>
    <row r="20" spans="1:22">
      <c r="A20" s="16" t="s">
        <v>63</v>
      </c>
      <c r="B20" s="16">
        <f>(D16+E16+F16)/2</f>
        <v>121.77005757853129</v>
      </c>
      <c r="G20" s="16">
        <v>3</v>
      </c>
      <c r="I20" s="16" t="s">
        <v>20</v>
      </c>
      <c r="J20" s="16">
        <v>13</v>
      </c>
      <c r="O20" s="16" t="s">
        <v>35</v>
      </c>
      <c r="P20" s="16">
        <f>P17/2</f>
        <v>3.6055512754639891</v>
      </c>
    </row>
    <row r="21" spans="1:22">
      <c r="B21" s="16" t="s">
        <v>28</v>
      </c>
      <c r="C21" s="16">
        <f>(E16*E16+F16*F16-D16*D16)/(2*E16*F16)</f>
        <v>0.98649965963802499</v>
      </c>
      <c r="D21" s="16">
        <f>B7+F7</f>
        <v>97.180755781458274</v>
      </c>
      <c r="E21" s="16" t="s">
        <v>30</v>
      </c>
      <c r="F21" s="16">
        <f>(D16*D16+F16*F16-E16*E16)/(2*D16*F16)</f>
        <v>-0.87099609998751004</v>
      </c>
      <c r="G21" s="16">
        <f>SQRT(G20)</f>
        <v>1.7320508075688772</v>
      </c>
      <c r="H21" s="16">
        <v>17</v>
      </c>
      <c r="K21" s="16" t="s">
        <v>17</v>
      </c>
      <c r="L21" s="1">
        <f>SQRT(J20*J20-L18*L18)</f>
        <v>12.675435561221029</v>
      </c>
    </row>
    <row r="22" spans="1:22">
      <c r="B22" s="16" t="s">
        <v>23</v>
      </c>
      <c r="C22" s="16">
        <f>(SQRT(1-C21*C21))</f>
        <v>0.16376330948677389</v>
      </c>
      <c r="E22" s="16" t="s">
        <v>45</v>
      </c>
      <c r="F22" s="16">
        <f>(SQRT(1-F21*F21))</f>
        <v>0.4912899284603211</v>
      </c>
      <c r="G22" s="16">
        <f>G21/2</f>
        <v>0.8660254037844386</v>
      </c>
      <c r="H22" s="16">
        <f>H21*H21</f>
        <v>289</v>
      </c>
      <c r="I22" s="16" t="s">
        <v>102</v>
      </c>
      <c r="K22" s="16" t="s">
        <v>21</v>
      </c>
      <c r="L22" s="16">
        <f>L21/L18</f>
        <v>4.3908996800200297</v>
      </c>
    </row>
    <row r="23" spans="1:22">
      <c r="B23" s="16" t="s">
        <v>26</v>
      </c>
      <c r="C23" s="16">
        <f>ACOS(C21)</f>
        <v>0.16450426577285193</v>
      </c>
      <c r="E23" s="16" t="s">
        <v>46</v>
      </c>
      <c r="F23" s="16">
        <f>ACOS(F21)</f>
        <v>2.6280225374180755</v>
      </c>
      <c r="G23" s="16">
        <f>G20*G21</f>
        <v>5.196152422706632</v>
      </c>
      <c r="I23" s="16">
        <f>SIN((PI()-H16))</f>
        <v>0.34202014332566888</v>
      </c>
      <c r="K23" s="16" t="s">
        <v>22</v>
      </c>
      <c r="L23" s="16">
        <f>ATAN(L22)</f>
        <v>1.3468718743788632</v>
      </c>
      <c r="M23" s="16" t="s">
        <v>18</v>
      </c>
    </row>
    <row r="24" spans="1:22">
      <c r="B24" s="16" t="s">
        <v>29</v>
      </c>
      <c r="C24" s="16">
        <f>DEGREES(C23)</f>
        <v>9.4254001406828198</v>
      </c>
      <c r="E24" s="16" t="s">
        <v>47</v>
      </c>
      <c r="F24" s="16">
        <f>DEGREES(F23)</f>
        <v>150.5745998593172</v>
      </c>
      <c r="H24" s="21"/>
      <c r="L24" s="16">
        <f>DEGREES(L23)</f>
        <v>77.170073946783262</v>
      </c>
      <c r="M24" s="16" t="s">
        <v>19</v>
      </c>
    </row>
    <row r="25" spans="1:22">
      <c r="I25" s="16">
        <v>22</v>
      </c>
      <c r="O25" s="16" t="s">
        <v>52</v>
      </c>
      <c r="P25" s="16">
        <f>M29</f>
        <v>0.70710678118654757</v>
      </c>
    </row>
    <row r="26" spans="1:22" ht="18.75">
      <c r="A26" s="29"/>
      <c r="B26" s="40" t="s">
        <v>36</v>
      </c>
      <c r="C26" s="40"/>
      <c r="D26" s="40"/>
      <c r="E26" s="37"/>
      <c r="G26" s="97" t="s">
        <v>41</v>
      </c>
      <c r="H26" s="97"/>
      <c r="I26" s="97"/>
      <c r="J26" s="97"/>
    </row>
    <row r="27" spans="1:22">
      <c r="D27" s="19"/>
      <c r="E27" s="19" t="s">
        <v>37</v>
      </c>
      <c r="F27" s="16">
        <f>2*SQRT(D31*(D31-A31)*(D31-B31)*(D31-C31))/A31</f>
        <v>36</v>
      </c>
      <c r="H27" s="32" t="s">
        <v>134</v>
      </c>
      <c r="I27" s="16" t="s">
        <v>48</v>
      </c>
      <c r="J27" s="16" t="s">
        <v>42</v>
      </c>
      <c r="K27" s="16" t="s">
        <v>3</v>
      </c>
      <c r="L27" s="16" t="s">
        <v>4</v>
      </c>
      <c r="M27" s="32" t="s">
        <v>135</v>
      </c>
      <c r="N27" s="16" t="s">
        <v>49</v>
      </c>
      <c r="O27" s="32" t="s">
        <v>11</v>
      </c>
      <c r="P27" s="32" t="s">
        <v>10</v>
      </c>
      <c r="Q27" s="16" t="s">
        <v>50</v>
      </c>
      <c r="R27" s="16" t="s">
        <v>51</v>
      </c>
    </row>
    <row r="28" spans="1:22">
      <c r="H28" s="2">
        <v>12</v>
      </c>
      <c r="I28" s="2">
        <v>12</v>
      </c>
      <c r="J28" s="16">
        <f>SQRT(H28*H28+I28*I28)</f>
        <v>16.970562748477139</v>
      </c>
      <c r="K28" s="16">
        <f>L28/2</f>
        <v>20.485281374238568</v>
      </c>
      <c r="L28" s="16">
        <f>H28+I28+J28</f>
        <v>40.970562748477136</v>
      </c>
      <c r="M28" s="16">
        <f>H28/I28</f>
        <v>1</v>
      </c>
      <c r="N28" s="16">
        <f>I28/H28</f>
        <v>1</v>
      </c>
      <c r="O28" s="16">
        <f>ATAN(M28)</f>
        <v>0.78539816339744828</v>
      </c>
      <c r="P28" s="16">
        <f>DEGREES(O28)</f>
        <v>45</v>
      </c>
      <c r="Q28" s="16">
        <f>ATAN(N28)</f>
        <v>0.78539816339744828</v>
      </c>
      <c r="R28" s="16">
        <f>DEGREES(Q28)</f>
        <v>45</v>
      </c>
    </row>
    <row r="29" spans="1:22">
      <c r="H29" s="2">
        <f>H28</f>
        <v>12</v>
      </c>
      <c r="I29" s="2">
        <f>J28</f>
        <v>16.970562748477139</v>
      </c>
      <c r="J29" s="16">
        <f>SQRT(H29*H29+I29*I29)</f>
        <v>20.784609690826525</v>
      </c>
      <c r="K29" s="16">
        <f>L29/2</f>
        <v>24.877586219651832</v>
      </c>
      <c r="L29" s="16">
        <f>H29+I29+J29</f>
        <v>49.755172439303664</v>
      </c>
      <c r="M29" s="16">
        <f t="shared" ref="M29:M30" si="1">H29/I29</f>
        <v>0.70710678118654757</v>
      </c>
      <c r="N29" s="16">
        <f t="shared" ref="N29:N30" si="2">I29/H29</f>
        <v>1.4142135623730949</v>
      </c>
      <c r="O29" s="16">
        <f t="shared" ref="O29:O31" si="3">ATAN(M29)</f>
        <v>0.61547970867038737</v>
      </c>
      <c r="P29" s="16">
        <f t="shared" ref="P29:P31" si="4">DEGREES(O29)</f>
        <v>35.264389682754654</v>
      </c>
      <c r="Q29" s="16">
        <f t="shared" ref="Q29:Q31" si="5">ATAN(N29)</f>
        <v>0.95531661812450919</v>
      </c>
      <c r="R29" s="16">
        <f t="shared" ref="R29:R31" si="6">DEGREES(Q29)</f>
        <v>54.735610317245346</v>
      </c>
    </row>
    <row r="30" spans="1:22" ht="15.75">
      <c r="A30" s="18" t="s">
        <v>0</v>
      </c>
      <c r="B30" s="18" t="s">
        <v>1</v>
      </c>
      <c r="C30" s="18" t="s">
        <v>2</v>
      </c>
      <c r="D30" s="62" t="s">
        <v>3</v>
      </c>
      <c r="E30" s="62" t="s">
        <v>4</v>
      </c>
      <c r="F30" s="61" t="s">
        <v>5</v>
      </c>
      <c r="H30" s="2">
        <f>I29</f>
        <v>16.970562748477139</v>
      </c>
      <c r="I30" s="2">
        <f>I28</f>
        <v>12</v>
      </c>
      <c r="J30" s="16">
        <f>SQRT(H30*H30+I30*I30)</f>
        <v>20.784609690826525</v>
      </c>
      <c r="K30" s="16">
        <f>L30/2</f>
        <v>24.877586219651832</v>
      </c>
      <c r="L30" s="16">
        <f>H30+I30+J30</f>
        <v>49.755172439303664</v>
      </c>
      <c r="M30" s="16">
        <f t="shared" si="1"/>
        <v>1.4142135623730949</v>
      </c>
      <c r="N30" s="16">
        <f t="shared" si="2"/>
        <v>0.70710678118654757</v>
      </c>
      <c r="O30" s="16">
        <f t="shared" si="3"/>
        <v>0.95531661812450919</v>
      </c>
      <c r="P30" s="16">
        <f t="shared" si="4"/>
        <v>54.735610317245346</v>
      </c>
      <c r="Q30" s="16">
        <f t="shared" si="5"/>
        <v>0.61547970867038737</v>
      </c>
      <c r="R30" s="16">
        <f t="shared" si="6"/>
        <v>35.264389682754654</v>
      </c>
    </row>
    <row r="31" spans="1:22" ht="15.75">
      <c r="A31" s="64">
        <v>42</v>
      </c>
      <c r="B31" s="65">
        <v>45</v>
      </c>
      <c r="C31" s="65">
        <v>39</v>
      </c>
      <c r="D31" s="62">
        <f>E31/2</f>
        <v>63</v>
      </c>
      <c r="E31" s="62">
        <f>A31+B31+C31</f>
        <v>126</v>
      </c>
      <c r="F31" s="16">
        <f>SQRT(D31*(D31-A31)*(D30:D31-B31)*(D30:D31-C31))</f>
        <v>756</v>
      </c>
      <c r="H31" s="2">
        <f>4*SQRT(2)</f>
        <v>5.6568542494923806</v>
      </c>
      <c r="I31" s="16">
        <f>SQRT(J31*J31-H31*H31)</f>
        <v>1.9999999999999982</v>
      </c>
      <c r="J31" s="2">
        <v>6</v>
      </c>
      <c r="M31" s="16">
        <f>I31/H31</f>
        <v>0.3535533905932734</v>
      </c>
      <c r="N31" s="16">
        <f>H31/I31</f>
        <v>2.828427124746193</v>
      </c>
      <c r="O31" s="16">
        <f t="shared" si="3"/>
        <v>0.33983690945412159</v>
      </c>
      <c r="P31" s="16">
        <f t="shared" si="4"/>
        <v>19.471220634490674</v>
      </c>
      <c r="Q31" s="16">
        <f t="shared" si="5"/>
        <v>1.230959417340775</v>
      </c>
      <c r="R31" s="16">
        <f t="shared" si="6"/>
        <v>70.528779365509322</v>
      </c>
    </row>
    <row r="32" spans="1:22">
      <c r="I32" s="16">
        <f>I31/2</f>
        <v>0.99999999999999911</v>
      </c>
      <c r="J32" s="97" t="s">
        <v>190</v>
      </c>
      <c r="K32" s="97"/>
    </row>
    <row r="33" spans="1:19">
      <c r="A33" s="67" t="s">
        <v>38</v>
      </c>
      <c r="B33" s="67" t="s">
        <v>39</v>
      </c>
      <c r="C33" s="67" t="s">
        <v>40</v>
      </c>
      <c r="E33" s="60" t="s">
        <v>169</v>
      </c>
      <c r="J33" s="16">
        <f>2*SQRT(K28*(K28-H28)*(K28-I28)*(K28-J28))/J28</f>
        <v>8.485281374238566</v>
      </c>
      <c r="N33" s="97" t="s">
        <v>204</v>
      </c>
      <c r="O33" s="97"/>
      <c r="P33" s="97"/>
      <c r="Q33" s="97"/>
      <c r="R33" s="90"/>
      <c r="S33" s="93"/>
    </row>
    <row r="34" spans="1:19" ht="15.75">
      <c r="A34" s="70">
        <f>2*SQRT($D$31*($D$31-$A$31)*($D$31-$B$31)*($D$31-$C$31))/A31</f>
        <v>36</v>
      </c>
      <c r="B34" s="70">
        <f t="shared" ref="B34:C34" si="7">2*SQRT($D$31*($D$31-$A$31)*($D$31-$B$31)*($D$31-$C$31))/B31</f>
        <v>33.6</v>
      </c>
      <c r="C34" s="70">
        <f t="shared" si="7"/>
        <v>38.769230769230766</v>
      </c>
      <c r="E34" s="16">
        <f>D31*(D31-A31)*(D31-B31)*(D31-C31)</f>
        <v>571536</v>
      </c>
      <c r="G34" s="16" t="s">
        <v>43</v>
      </c>
      <c r="H34" s="16" t="s">
        <v>44</v>
      </c>
      <c r="J34" s="16">
        <f>2*SQRT(K29*(K29-H29)*(K29-I29)*(K29-J29))/J29</f>
        <v>9.7979589711327133</v>
      </c>
      <c r="N34" s="92" t="s">
        <v>145</v>
      </c>
      <c r="O34" s="94">
        <f>A31</f>
        <v>42</v>
      </c>
      <c r="P34" s="92" t="s">
        <v>54</v>
      </c>
      <c r="Q34" s="94">
        <f>B31</f>
        <v>45</v>
      </c>
      <c r="R34" s="92" t="s">
        <v>55</v>
      </c>
      <c r="S34" s="94">
        <f>C31</f>
        <v>39</v>
      </c>
    </row>
    <row r="35" spans="1:19">
      <c r="A35" s="48">
        <f>A34/2</f>
        <v>18</v>
      </c>
      <c r="B35" s="16">
        <f>E35*2/B31</f>
        <v>33.6</v>
      </c>
      <c r="C35" s="16">
        <f>C34*C34</f>
        <v>1503.0532544378696</v>
      </c>
      <c r="D35" s="63" t="s">
        <v>100</v>
      </c>
      <c r="E35" s="16">
        <f>SQRT(E34)</f>
        <v>756</v>
      </c>
      <c r="G35" s="16">
        <v>2</v>
      </c>
      <c r="H35" s="16">
        <f>SQRT(G35)</f>
        <v>1.4142135623730951</v>
      </c>
      <c r="I35" s="16">
        <f>H35/2</f>
        <v>0.70710678118654757</v>
      </c>
      <c r="J35" s="16" t="s">
        <v>61</v>
      </c>
      <c r="K35" s="16">
        <f>I35/2</f>
        <v>0.35355339059327379</v>
      </c>
      <c r="N35" s="91" t="s">
        <v>205</v>
      </c>
      <c r="O35" s="91" t="s">
        <v>206</v>
      </c>
      <c r="P35" s="91" t="s">
        <v>207</v>
      </c>
      <c r="Q35" s="91" t="s">
        <v>214</v>
      </c>
      <c r="R35" s="91" t="s">
        <v>208</v>
      </c>
      <c r="S35" s="91" t="s">
        <v>209</v>
      </c>
    </row>
    <row r="36" spans="1:19" ht="15.75">
      <c r="B36" s="28"/>
      <c r="C36" s="28" t="s">
        <v>56</v>
      </c>
      <c r="D36" s="28"/>
      <c r="E36" s="28"/>
      <c r="F36" s="16">
        <f>75*24</f>
        <v>1800</v>
      </c>
      <c r="G36" s="16">
        <v>100</v>
      </c>
      <c r="H36" s="16">
        <f>SQRT(F36*F36+G36*G36)</f>
        <v>1802.7756377319947</v>
      </c>
      <c r="I36" s="16">
        <f>H36/2</f>
        <v>901.38781886599736</v>
      </c>
      <c r="J36" s="16" t="s">
        <v>61</v>
      </c>
      <c r="N36" s="91">
        <f>O34-O36</f>
        <v>15</v>
      </c>
      <c r="O36" s="91">
        <f>Q34*O44</f>
        <v>27</v>
      </c>
      <c r="P36" s="91">
        <f>S34*O38</f>
        <v>19.799999999999997</v>
      </c>
      <c r="Q36" s="91">
        <f>Q34-P36</f>
        <v>25.200000000000003</v>
      </c>
      <c r="R36" s="73">
        <f>Q34*O38</f>
        <v>22.846153846153847</v>
      </c>
      <c r="S36" s="74">
        <f>S34-R36</f>
        <v>16.153846153846153</v>
      </c>
    </row>
    <row r="37" spans="1:19" ht="15.75">
      <c r="B37" s="28"/>
      <c r="C37" s="28" t="s">
        <v>57</v>
      </c>
      <c r="D37" s="28"/>
      <c r="E37" s="28"/>
      <c r="F37" s="16">
        <f>SQRT(F36)</f>
        <v>42.426406871192853</v>
      </c>
      <c r="I37" s="16">
        <f>H36/4</f>
        <v>450.69390943299868</v>
      </c>
      <c r="K37" s="16">
        <f>I31</f>
        <v>1.9999999999999982</v>
      </c>
      <c r="L37" s="16">
        <f>K37-2</f>
        <v>-1.7763568394002505E-15</v>
      </c>
    </row>
    <row r="38" spans="1:19">
      <c r="K38" s="16">
        <f>-K37</f>
        <v>-1.9999999999999982</v>
      </c>
      <c r="L38" s="16">
        <f>K38-2</f>
        <v>-3.9999999999999982</v>
      </c>
      <c r="N38" s="91" t="s">
        <v>28</v>
      </c>
      <c r="O38" s="91">
        <f>(Q34^2+S34^2-O34^2)/(2*Q34*S34)</f>
        <v>0.50769230769230766</v>
      </c>
      <c r="P38" s="91" t="s">
        <v>211</v>
      </c>
      <c r="Q38" s="91" t="s">
        <v>212</v>
      </c>
    </row>
    <row r="39" spans="1:19">
      <c r="G39" s="16">
        <v>5</v>
      </c>
      <c r="H39" s="20">
        <v>2.5</v>
      </c>
      <c r="N39" s="91" t="s">
        <v>210</v>
      </c>
      <c r="O39" s="91">
        <f>SQRT(1-O38^2)</f>
        <v>0.86153846153846159</v>
      </c>
      <c r="P39" s="91">
        <f>ACOS(O38)</f>
        <v>1.038292228493046</v>
      </c>
      <c r="Q39" s="91">
        <f>DEGREES(P39)</f>
        <v>59.489762593884457</v>
      </c>
    </row>
    <row r="40" spans="1:19">
      <c r="G40" s="16">
        <f>G39*G39</f>
        <v>25</v>
      </c>
      <c r="H40" s="16">
        <f>H39*H39</f>
        <v>6.25</v>
      </c>
    </row>
    <row r="41" spans="1:19">
      <c r="A41" s="67" t="s">
        <v>0</v>
      </c>
      <c r="B41" s="67" t="s">
        <v>1</v>
      </c>
      <c r="C41" s="67" t="s">
        <v>2</v>
      </c>
      <c r="H41" s="16">
        <f>G40-H40</f>
        <v>18.75</v>
      </c>
      <c r="I41" s="16">
        <f>SQRT(H41)</f>
        <v>4.3301270189221936</v>
      </c>
      <c r="K41" s="16">
        <v>90</v>
      </c>
      <c r="N41" s="91" t="s">
        <v>30</v>
      </c>
      <c r="O41" s="91">
        <f>(O34^2+S34^2-Q34^2)/(2*O34*S34)</f>
        <v>0.38461538461538464</v>
      </c>
      <c r="P41" s="91" t="s">
        <v>50</v>
      </c>
      <c r="Q41" s="91" t="s">
        <v>213</v>
      </c>
    </row>
    <row r="42" spans="1:19" ht="15.75">
      <c r="A42" s="64">
        <v>4</v>
      </c>
      <c r="B42" s="65">
        <v>5</v>
      </c>
      <c r="C42" s="65">
        <v>6</v>
      </c>
      <c r="E42" s="28"/>
      <c r="H42" s="19" t="s">
        <v>15</v>
      </c>
      <c r="I42" s="16">
        <f>I41*2/3</f>
        <v>2.8867513459481291</v>
      </c>
      <c r="K42" s="16">
        <v>26.57</v>
      </c>
      <c r="N42" s="91" t="s">
        <v>24</v>
      </c>
      <c r="O42" s="91">
        <f>SQRT(1-O41^2)</f>
        <v>0.92307692307692313</v>
      </c>
      <c r="P42" s="91">
        <f>ACOS(O41)</f>
        <v>1.176005207095135</v>
      </c>
      <c r="Q42" s="91">
        <f>DEGREES(P42)</f>
        <v>67.38013505195957</v>
      </c>
    </row>
    <row r="43" spans="1:19">
      <c r="A43" s="16">
        <f>A42*A42</f>
        <v>16</v>
      </c>
      <c r="B43" s="16">
        <f>B42*B42</f>
        <v>25</v>
      </c>
      <c r="C43" s="58">
        <f>C42*C42</f>
        <v>36</v>
      </c>
      <c r="H43" s="19" t="s">
        <v>16</v>
      </c>
      <c r="I43" s="16">
        <f>I41/3</f>
        <v>1.4433756729740645</v>
      </c>
      <c r="K43" s="16">
        <f>K41-K42</f>
        <v>63.43</v>
      </c>
    </row>
    <row r="44" spans="1:19">
      <c r="A44" s="67" t="s">
        <v>58</v>
      </c>
      <c r="B44" s="67" t="s">
        <v>60</v>
      </c>
      <c r="C44" s="67" t="s">
        <v>59</v>
      </c>
      <c r="D44" s="16">
        <f>D21</f>
        <v>97.180755781458274</v>
      </c>
      <c r="N44" s="91" t="s">
        <v>32</v>
      </c>
      <c r="O44" s="91">
        <f>(O34^2+Q34^2-S34^2)/(2*O34*Q34)</f>
        <v>0.6</v>
      </c>
      <c r="P44" s="91" t="s">
        <v>211</v>
      </c>
      <c r="Q44" s="91" t="s">
        <v>212</v>
      </c>
    </row>
    <row r="45" spans="1:19">
      <c r="A45" s="70">
        <f>(1/2)*SQRT(2*B43+2*C43-A43)</f>
        <v>5.1478150704935004</v>
      </c>
      <c r="B45" s="70">
        <f>(1/2)*SQRT(2*C43+2*A43-B43)</f>
        <v>4.4440972086577943</v>
      </c>
      <c r="C45" s="70">
        <f>(1/2)*SQRT(2*A43+2*B43-C43)</f>
        <v>3.3911649915626341</v>
      </c>
      <c r="N45" s="91" t="s">
        <v>25</v>
      </c>
      <c r="O45" s="91">
        <f>SQRT(1-O44^2)</f>
        <v>0.8</v>
      </c>
      <c r="P45" s="91">
        <f>ACOS(O44)</f>
        <v>0.92729521800161219</v>
      </c>
      <c r="Q45" s="91">
        <f>DEGREES(P45)</f>
        <v>53.13010235415598</v>
      </c>
    </row>
    <row r="46" spans="1:19">
      <c r="B46" s="16">
        <f>B45*2/3</f>
        <v>2.9627314724385294</v>
      </c>
      <c r="C46" s="16">
        <f>B45-B46</f>
        <v>1.4813657362192649</v>
      </c>
    </row>
    <row r="47" spans="1:19" ht="15.75">
      <c r="B47" s="37"/>
      <c r="C47" s="38" t="s">
        <v>66</v>
      </c>
      <c r="D47" s="37"/>
      <c r="E47" s="37"/>
      <c r="J47" s="66" t="s">
        <v>188</v>
      </c>
      <c r="K47" s="20">
        <f>J51+I56+D56</f>
        <v>6.3708479926639869</v>
      </c>
    </row>
    <row r="48" spans="1:19">
      <c r="A48" s="16">
        <f>3/2</f>
        <v>1.5</v>
      </c>
      <c r="C48" s="4"/>
      <c r="F48" s="97" t="s">
        <v>182</v>
      </c>
      <c r="G48" s="97"/>
      <c r="H48" s="97"/>
      <c r="I48" s="97"/>
    </row>
    <row r="49" spans="1:15">
      <c r="A49" s="16">
        <f>SQRT(5)</f>
        <v>2.2360679774997898</v>
      </c>
      <c r="F49" s="104" t="s">
        <v>0</v>
      </c>
      <c r="G49" s="104"/>
      <c r="H49" s="104" t="s">
        <v>1</v>
      </c>
      <c r="I49" s="104"/>
      <c r="J49" s="104" t="s">
        <v>2</v>
      </c>
      <c r="K49" s="104"/>
    </row>
    <row r="50" spans="1:15">
      <c r="A50" s="16">
        <f>A48*A49</f>
        <v>3.3541019662496847</v>
      </c>
      <c r="F50" s="67" t="s">
        <v>173</v>
      </c>
      <c r="G50" s="67" t="s">
        <v>187</v>
      </c>
      <c r="H50" s="67" t="s">
        <v>185</v>
      </c>
      <c r="I50" s="67" t="s">
        <v>186</v>
      </c>
      <c r="J50" s="67" t="s">
        <v>183</v>
      </c>
      <c r="K50" s="67" t="s">
        <v>184</v>
      </c>
    </row>
    <row r="51" spans="1:15">
      <c r="A51" s="69" t="s">
        <v>0</v>
      </c>
      <c r="B51" s="69" t="s">
        <v>1</v>
      </c>
      <c r="C51" s="69" t="s">
        <v>2</v>
      </c>
      <c r="D51" s="5" t="s">
        <v>3</v>
      </c>
      <c r="E51" s="5" t="s">
        <v>4</v>
      </c>
      <c r="F51" s="67">
        <f>(C52*A52)/(B52+C52)</f>
        <v>2</v>
      </c>
      <c r="G51" s="67">
        <f>A52-F51</f>
        <v>3</v>
      </c>
      <c r="H51" s="67">
        <f>(C52*B52)/(C52+A52)</f>
        <v>2.6666666666666665</v>
      </c>
      <c r="I51" s="67">
        <f>(A52*B52)/(A52+C52)</f>
        <v>3.3333333333333335</v>
      </c>
      <c r="J51" s="73">
        <f>(B52*C52)/(B52+A52)</f>
        <v>2.1818181818181817</v>
      </c>
      <c r="K51" s="74">
        <f>C52-J51</f>
        <v>1.8181818181818183</v>
      </c>
    </row>
    <row r="52" spans="1:15" ht="15.75">
      <c r="A52" s="71">
        <v>5</v>
      </c>
      <c r="B52" s="71">
        <v>6</v>
      </c>
      <c r="C52" s="71">
        <v>4</v>
      </c>
      <c r="D52" s="5">
        <f>E52/2</f>
        <v>7.5</v>
      </c>
      <c r="E52" s="5">
        <f>A52+B52+C52</f>
        <v>15</v>
      </c>
    </row>
    <row r="53" spans="1:15">
      <c r="D53" s="97" t="s">
        <v>189</v>
      </c>
      <c r="E53" s="97"/>
      <c r="F53" s="97"/>
      <c r="G53" s="97"/>
      <c r="H53" s="97"/>
      <c r="I53" s="97"/>
    </row>
    <row r="54" spans="1:15" ht="18">
      <c r="A54" s="68" t="s">
        <v>67</v>
      </c>
      <c r="B54" s="68" t="s">
        <v>67</v>
      </c>
      <c r="C54" s="68"/>
      <c r="D54" s="104"/>
      <c r="E54" s="104"/>
      <c r="F54" s="104"/>
      <c r="G54" s="104"/>
      <c r="H54" s="104"/>
      <c r="I54" s="104"/>
      <c r="J54" s="67" t="s">
        <v>175</v>
      </c>
      <c r="K54" s="67" t="s">
        <v>176</v>
      </c>
      <c r="L54" s="67" t="s">
        <v>179</v>
      </c>
    </row>
    <row r="55" spans="1:15">
      <c r="A55" s="70">
        <f>2/(B52+C52)*SQRT(B52*C52*D52*(D52-A52))</f>
        <v>4.2426406871192857</v>
      </c>
      <c r="B55" s="70">
        <f>2/(A52+C52)*SQRT(A52*C52*D52*(D52-B52))</f>
        <v>3.333333333333333</v>
      </c>
      <c r="C55" s="70">
        <f>2/(A52+B52)*SQRT(A52*B52*D52*(D52-C52))</f>
        <v>5.1022600728735572</v>
      </c>
      <c r="D55" s="67" t="s">
        <v>129</v>
      </c>
      <c r="E55" s="67" t="s">
        <v>174</v>
      </c>
      <c r="F55" s="67" t="s">
        <v>177</v>
      </c>
      <c r="G55" s="67" t="s">
        <v>178</v>
      </c>
      <c r="H55" s="67" t="s">
        <v>180</v>
      </c>
      <c r="I55" s="67" t="s">
        <v>181</v>
      </c>
      <c r="J55" s="67">
        <f>(B52+C52)/A52</f>
        <v>2</v>
      </c>
      <c r="K55" s="69">
        <f>(A52+C52)/B52</f>
        <v>1.5</v>
      </c>
      <c r="L55" s="67">
        <f>(B52+A52)/C52</f>
        <v>2.75</v>
      </c>
    </row>
    <row r="56" spans="1:15">
      <c r="D56" s="67">
        <f>(A55*J55)/(1+J55)</f>
        <v>2.8284271247461903</v>
      </c>
      <c r="E56" s="67">
        <f>A55-D56</f>
        <v>1.4142135623730954</v>
      </c>
      <c r="F56" s="67">
        <f>(B55*K55)/(1+K55)</f>
        <v>2</v>
      </c>
      <c r="G56" s="67">
        <f>(B55-F56)</f>
        <v>1.333333333333333</v>
      </c>
      <c r="H56" s="67">
        <f>(C55*L55)/(1+L55)</f>
        <v>3.7416573867739422</v>
      </c>
      <c r="I56" s="67">
        <f>C55-H56</f>
        <v>1.360602686099615</v>
      </c>
    </row>
    <row r="57" spans="1:15" ht="18.75">
      <c r="A57" s="105" t="s">
        <v>142</v>
      </c>
      <c r="B57" s="105"/>
      <c r="C57" s="105"/>
      <c r="D57" s="105"/>
      <c r="E57" s="105"/>
    </row>
    <row r="58" spans="1:15" ht="18.75">
      <c r="A58" s="105" t="s">
        <v>75</v>
      </c>
      <c r="B58" s="105"/>
      <c r="C58" s="105"/>
      <c r="D58" s="105"/>
      <c r="E58" s="105"/>
      <c r="H58" s="16">
        <f>ATAN(2*SQRT(2))</f>
        <v>1.2309594173407747</v>
      </c>
      <c r="I58" s="16">
        <f>ATAN(2/3)</f>
        <v>0.5880026035475675</v>
      </c>
      <c r="J58" s="86" t="s">
        <v>200</v>
      </c>
      <c r="K58" s="16">
        <f>D60-F60</f>
        <v>1.0694232262709038</v>
      </c>
      <c r="L58" s="85">
        <f>ATAN(SQRT(2))</f>
        <v>0.9553166181245093</v>
      </c>
      <c r="M58" s="16">
        <f>I58</f>
        <v>0.5880026035475675</v>
      </c>
      <c r="N58" s="16">
        <f>L58-M58</f>
        <v>0.36731401457694179</v>
      </c>
    </row>
    <row r="59" spans="1:15">
      <c r="D59" s="6" t="s">
        <v>191</v>
      </c>
      <c r="E59" s="7" t="s">
        <v>1</v>
      </c>
      <c r="F59" s="5" t="s">
        <v>2</v>
      </c>
      <c r="G59" s="5" t="s">
        <v>68</v>
      </c>
      <c r="H59" s="6" t="s">
        <v>69</v>
      </c>
      <c r="I59" s="6" t="s">
        <v>70</v>
      </c>
      <c r="L59" s="16">
        <f>DEGREES(L58)</f>
        <v>54.735610317245346</v>
      </c>
      <c r="M59" s="85">
        <f>DEGREES(M58)</f>
        <v>33.690067525979785</v>
      </c>
      <c r="N59" s="85">
        <f>DEGREES(N58)</f>
        <v>21.045542791265564</v>
      </c>
      <c r="O59"/>
    </row>
    <row r="60" spans="1:15" ht="15.75">
      <c r="D60" s="8">
        <v>2.5</v>
      </c>
      <c r="E60" s="44">
        <f>(H63/G63)*D60</f>
        <v>2.4315129616457574</v>
      </c>
      <c r="F60" s="28">
        <f>(I63/G63)*D60</f>
        <v>1.4305767737290962</v>
      </c>
      <c r="G60" s="28">
        <f>180-(H60+I60)</f>
        <v>75.781153108510907</v>
      </c>
      <c r="H60" s="6">
        <f>DEGREES(H58)</f>
        <v>70.528779365509308</v>
      </c>
      <c r="I60" s="6">
        <f>DEGREES(I58)</f>
        <v>33.690067525979785</v>
      </c>
      <c r="M60"/>
      <c r="N60"/>
      <c r="O60"/>
    </row>
    <row r="61" spans="1:15">
      <c r="D61" s="5"/>
      <c r="E61" s="5"/>
      <c r="F61" s="5"/>
      <c r="G61" s="5">
        <f>RADIANS(G60)</f>
        <v>1.322630632701451</v>
      </c>
      <c r="H61" s="6">
        <f t="shared" ref="H61:I61" si="8">RADIANS(H60)</f>
        <v>1.2309594173407747</v>
      </c>
      <c r="I61" s="6">
        <f t="shared" si="8"/>
        <v>0.5880026035475675</v>
      </c>
      <c r="K61" s="88">
        <f>E16</f>
        <v>120</v>
      </c>
      <c r="L61" s="16">
        <f>K58</f>
        <v>1.0694232262709038</v>
      </c>
      <c r="M61" t="s">
        <v>37</v>
      </c>
      <c r="N61">
        <f>K61*L61/K62</f>
        <v>51.332314861003383</v>
      </c>
      <c r="O61" t="s">
        <v>198</v>
      </c>
    </row>
    <row r="62" spans="1:15">
      <c r="D62" s="5"/>
      <c r="E62" s="5"/>
      <c r="F62" s="5"/>
      <c r="G62" s="5" t="s">
        <v>71</v>
      </c>
      <c r="H62" s="6" t="s">
        <v>72</v>
      </c>
      <c r="I62" s="6" t="s">
        <v>73</v>
      </c>
      <c r="K62" s="16">
        <v>2.5</v>
      </c>
      <c r="M62"/>
      <c r="N62">
        <f>K58*2/SQRT(3)</f>
        <v>1.2348635751302888</v>
      </c>
      <c r="O62" t="s">
        <v>199</v>
      </c>
    </row>
    <row r="63" spans="1:15">
      <c r="D63" s="5"/>
      <c r="E63" s="5"/>
      <c r="F63" s="5"/>
      <c r="G63" s="5">
        <f>SIN(G61)</f>
        <v>0.96936460596114582</v>
      </c>
      <c r="H63" s="6">
        <f t="shared" ref="H63:I63" si="9">SIN(H61)</f>
        <v>0.94280904158206336</v>
      </c>
      <c r="I63" s="6">
        <f t="shared" si="9"/>
        <v>0.55470019622522904</v>
      </c>
      <c r="J63" s="35"/>
    </row>
    <row r="64" spans="1:15">
      <c r="D64" s="5"/>
      <c r="E64" s="5"/>
      <c r="F64" s="5"/>
      <c r="G64" s="5"/>
      <c r="H64" s="5"/>
      <c r="I64" s="5" t="s">
        <v>101</v>
      </c>
      <c r="J64" s="16">
        <f>COS(I61)</f>
        <v>0.83205029433784372</v>
      </c>
      <c r="N64" s="16">
        <f>F60</f>
        <v>1.4305767737290962</v>
      </c>
    </row>
    <row r="65" spans="1:15" ht="18.75">
      <c r="A65" s="105" t="s">
        <v>148</v>
      </c>
      <c r="B65" s="105"/>
      <c r="C65" s="105"/>
      <c r="D65" s="105"/>
      <c r="E65" s="105"/>
      <c r="F65" s="105"/>
      <c r="I65" s="84" t="s">
        <v>197</v>
      </c>
      <c r="J65" s="16">
        <f>E60*J64</f>
        <v>2.0231410754236343</v>
      </c>
      <c r="N65" s="16">
        <v>2</v>
      </c>
    </row>
    <row r="66" spans="1:15" ht="18.75">
      <c r="A66" s="105" t="s">
        <v>74</v>
      </c>
      <c r="B66" s="105"/>
      <c r="C66" s="105"/>
      <c r="D66" s="105"/>
      <c r="E66" s="105"/>
      <c r="F66" s="37"/>
      <c r="N66" s="16">
        <f>N64*N65</f>
        <v>2.8611535474581924</v>
      </c>
    </row>
    <row r="67" spans="1:15">
      <c r="D67" s="6" t="s">
        <v>0</v>
      </c>
      <c r="E67" s="7" t="s">
        <v>1</v>
      </c>
      <c r="F67" s="5" t="s">
        <v>2</v>
      </c>
      <c r="G67" s="6" t="s">
        <v>68</v>
      </c>
      <c r="H67" s="6" t="s">
        <v>69</v>
      </c>
      <c r="I67" s="7" t="s">
        <v>70</v>
      </c>
      <c r="K67" s="16">
        <v>3</v>
      </c>
      <c r="L67" s="16">
        <v>4</v>
      </c>
      <c r="N67" s="16">
        <v>2</v>
      </c>
    </row>
    <row r="68" spans="1:15">
      <c r="D68" s="8">
        <f>D60</f>
        <v>2.5</v>
      </c>
      <c r="E68" s="9">
        <f>(H71/G71)*D68</f>
        <v>2.0412414523193152</v>
      </c>
      <c r="F68" s="5">
        <f>(I71/G71)*D68</f>
        <v>2.7883876791260267</v>
      </c>
      <c r="G68" s="6">
        <v>60</v>
      </c>
      <c r="H68" s="6">
        <v>45</v>
      </c>
      <c r="I68" s="7">
        <f>180-H68-G68</f>
        <v>75</v>
      </c>
      <c r="K68" s="16">
        <f>SQRT(K67)</f>
        <v>1.7320508075688772</v>
      </c>
      <c r="L68" s="16">
        <f>L67/K68</f>
        <v>2.3094010767585034</v>
      </c>
      <c r="N68" s="16">
        <f>N66*N67</f>
        <v>5.7223070949163848</v>
      </c>
      <c r="O68" s="16">
        <f>N68+N64</f>
        <v>7.152883868645481</v>
      </c>
    </row>
    <row r="69" spans="1:15">
      <c r="D69" s="5"/>
      <c r="E69" s="5"/>
      <c r="F69" s="5"/>
      <c r="G69" s="6">
        <f>RADIANS(G68)</f>
        <v>1.0471975511965976</v>
      </c>
      <c r="H69" s="6">
        <f t="shared" ref="H69" si="10">RADIANS(H68)</f>
        <v>0.78539816339744828</v>
      </c>
      <c r="I69" s="7">
        <f t="shared" ref="I69" si="11">RADIANS(I68)</f>
        <v>1.3089969389957472</v>
      </c>
      <c r="L69" s="16">
        <v>1</v>
      </c>
      <c r="O69" s="16">
        <f>N66*O68/2</f>
        <v>10.232749527665748</v>
      </c>
    </row>
    <row r="70" spans="1:15">
      <c r="D70" s="5"/>
      <c r="E70" s="5"/>
      <c r="F70" s="5"/>
      <c r="G70" s="6" t="s">
        <v>71</v>
      </c>
      <c r="H70" s="6" t="s">
        <v>72</v>
      </c>
      <c r="I70" s="7" t="s">
        <v>73</v>
      </c>
      <c r="L70" s="16">
        <f>L68+L69</f>
        <v>3.3094010767585034</v>
      </c>
      <c r="M70" s="16">
        <f>L70*L70</f>
        <v>10.952135486850342</v>
      </c>
    </row>
    <row r="71" spans="1:15">
      <c r="D71" s="5"/>
      <c r="E71" s="5"/>
      <c r="F71" s="5"/>
      <c r="G71" s="6">
        <f>SIN(G69)</f>
        <v>0.8660254037844386</v>
      </c>
      <c r="H71" s="6">
        <f t="shared" ref="H71:I71" si="12">SIN(H69)</f>
        <v>0.70710678118654746</v>
      </c>
      <c r="I71" s="7">
        <f t="shared" si="12"/>
        <v>0.96592582628906831</v>
      </c>
      <c r="M71" s="16">
        <v>3</v>
      </c>
    </row>
    <row r="72" spans="1:15">
      <c r="M72" s="16">
        <f>SUM(M70:M71)</f>
        <v>13.952135486850342</v>
      </c>
      <c r="N72" s="16">
        <f>SQRT(M72)</f>
        <v>3.7352557458426245</v>
      </c>
    </row>
    <row r="73" spans="1:15" ht="15.75">
      <c r="A73" s="40" t="s">
        <v>149</v>
      </c>
      <c r="B73" s="37"/>
      <c r="C73" s="37"/>
      <c r="D73" s="37"/>
      <c r="E73" s="37"/>
      <c r="F73" s="37"/>
    </row>
    <row r="74" spans="1:15" ht="18.75">
      <c r="B74" s="22" t="s">
        <v>76</v>
      </c>
    </row>
    <row r="77" spans="1:15">
      <c r="A77" s="98" t="s">
        <v>77</v>
      </c>
      <c r="B77" s="98"/>
      <c r="C77" s="98"/>
      <c r="D77" s="98"/>
    </row>
    <row r="78" spans="1:15">
      <c r="A78" s="98" t="s">
        <v>78</v>
      </c>
      <c r="B78" s="98"/>
      <c r="C78" s="98"/>
      <c r="D78" s="98"/>
      <c r="E78" s="98"/>
      <c r="F78" s="98"/>
    </row>
    <row r="79" spans="1:15">
      <c r="A79" s="98" t="s">
        <v>79</v>
      </c>
      <c r="B79" s="98"/>
      <c r="C79" s="98"/>
      <c r="D79" s="98"/>
      <c r="E79" s="98"/>
      <c r="F79" s="98"/>
      <c r="G79" s="98"/>
    </row>
    <row r="80" spans="1:15">
      <c r="A80" s="98" t="s">
        <v>80</v>
      </c>
      <c r="B80" s="98"/>
      <c r="C80" s="98"/>
      <c r="D80" s="98"/>
      <c r="E80" s="98"/>
      <c r="F80" s="98"/>
      <c r="G80" s="98"/>
      <c r="H80" s="98"/>
      <c r="I80" s="98"/>
    </row>
    <row r="81" spans="1:13">
      <c r="A81" s="99" t="s">
        <v>81</v>
      </c>
      <c r="B81" s="99"/>
      <c r="C81" s="99"/>
      <c r="D81" s="99"/>
      <c r="E81" s="99"/>
      <c r="F81" s="99"/>
    </row>
    <row r="83" spans="1:13">
      <c r="A83" s="5">
        <f>3/4</f>
        <v>0.75</v>
      </c>
      <c r="B83" s="5"/>
      <c r="C83" s="5"/>
      <c r="D83" s="6" t="s">
        <v>0</v>
      </c>
      <c r="E83" s="6" t="s">
        <v>1</v>
      </c>
      <c r="F83" s="5" t="s">
        <v>2</v>
      </c>
      <c r="G83" s="7" t="s">
        <v>68</v>
      </c>
      <c r="H83" s="6" t="s">
        <v>69</v>
      </c>
      <c r="I83" s="7" t="s">
        <v>70</v>
      </c>
      <c r="K83" s="16">
        <v>24</v>
      </c>
    </row>
    <row r="84" spans="1:13" ht="15.75">
      <c r="A84" s="5">
        <f>ATAN(A83)</f>
        <v>0.64350110879328437</v>
      </c>
      <c r="B84" s="5">
        <v>27</v>
      </c>
      <c r="C84" s="5">
        <v>4</v>
      </c>
      <c r="D84" s="8">
        <f>4*SQRT(3)</f>
        <v>6.9282032302755088</v>
      </c>
      <c r="E84" s="8">
        <f>20*SQRT(3)</f>
        <v>34.641016151377542</v>
      </c>
      <c r="F84" s="28">
        <f>E84*I87/H87</f>
        <v>30.653342603326198</v>
      </c>
      <c r="G84" s="7">
        <f>DEGREES(G85)</f>
        <v>9.9742217944013518</v>
      </c>
      <c r="H84" s="6">
        <v>120</v>
      </c>
      <c r="I84" s="7">
        <f>180-H84-G84</f>
        <v>50.025778205598648</v>
      </c>
      <c r="K84" s="16">
        <f>SQRT(K83)</f>
        <v>4.8989794855663558</v>
      </c>
      <c r="L84" s="16">
        <v>5</v>
      </c>
    </row>
    <row r="85" spans="1:13">
      <c r="A85" s="5">
        <f>DEGREES(A84)</f>
        <v>36.86989764584402</v>
      </c>
      <c r="B85" s="5"/>
      <c r="C85" s="5">
        <f>B84/C84</f>
        <v>6.75</v>
      </c>
      <c r="D85" s="5"/>
      <c r="E85" s="5"/>
      <c r="F85" s="5"/>
      <c r="G85" s="7">
        <f>ASIN(G87)</f>
        <v>0.17408301063648049</v>
      </c>
      <c r="H85" s="6">
        <f t="shared" ref="H85" si="13">RADIANS(H84)</f>
        <v>2.0943951023931953</v>
      </c>
      <c r="I85" s="7">
        <f t="shared" ref="I85" si="14">RADIANS(I84)</f>
        <v>0.87311454056011717</v>
      </c>
      <c r="L85" s="16">
        <f>K84/L84</f>
        <v>0.9797958971132712</v>
      </c>
    </row>
    <row r="86" spans="1:13" ht="14.25" customHeight="1">
      <c r="A86" s="5"/>
      <c r="B86" s="5">
        <v>5</v>
      </c>
      <c r="C86" s="5">
        <f>B86-C85</f>
        <v>-1.75</v>
      </c>
      <c r="D86" s="11" t="s">
        <v>84</v>
      </c>
      <c r="E86" s="11" t="s">
        <v>86</v>
      </c>
      <c r="F86" s="5"/>
      <c r="G86" s="7" t="s">
        <v>71</v>
      </c>
      <c r="H86" s="6" t="s">
        <v>72</v>
      </c>
      <c r="I86" s="7" t="s">
        <v>73</v>
      </c>
      <c r="K86" s="51" t="s">
        <v>155</v>
      </c>
      <c r="L86" s="16">
        <f>ATAN(L85)</f>
        <v>0.77519337331036131</v>
      </c>
      <c r="M86" s="51" t="s">
        <v>156</v>
      </c>
    </row>
    <row r="87" spans="1:13">
      <c r="A87" s="5" t="s">
        <v>82</v>
      </c>
      <c r="B87" s="5">
        <f>SIN(A84)</f>
        <v>0.6</v>
      </c>
      <c r="C87" s="5">
        <v>10</v>
      </c>
      <c r="D87" s="12">
        <f>C87*B87</f>
        <v>6</v>
      </c>
      <c r="E87" s="12">
        <v>5</v>
      </c>
      <c r="F87" s="5"/>
      <c r="G87" s="7">
        <f>H87*D84/E84</f>
        <v>0.17320508075688776</v>
      </c>
      <c r="H87" s="6">
        <f t="shared" ref="H87:I87" si="15">SIN(H85)</f>
        <v>0.86602540378443871</v>
      </c>
      <c r="I87" s="7">
        <f t="shared" si="15"/>
        <v>0.76633356508315509</v>
      </c>
      <c r="L87" s="16">
        <f>DEGREES(L86)</f>
        <v>44.415308597192976</v>
      </c>
      <c r="M87" s="51" t="s">
        <v>19</v>
      </c>
    </row>
    <row r="88" spans="1:13">
      <c r="A88" s="5" t="s">
        <v>83</v>
      </c>
      <c r="B88" s="5">
        <f>COS(A84)</f>
        <v>0.8</v>
      </c>
      <c r="C88" s="5">
        <v>10</v>
      </c>
      <c r="D88" s="13">
        <f>C88*B88</f>
        <v>8</v>
      </c>
      <c r="E88" s="13">
        <v>9</v>
      </c>
    </row>
    <row r="89" spans="1:13">
      <c r="D89" s="14" t="s">
        <v>85</v>
      </c>
      <c r="E89" s="14" t="s">
        <v>87</v>
      </c>
      <c r="I89" s="16">
        <f>E84*I87</f>
        <v>26.546573405388308</v>
      </c>
    </row>
    <row r="90" spans="1:13">
      <c r="B90" s="11" t="s">
        <v>88</v>
      </c>
      <c r="G90" s="16">
        <v>60</v>
      </c>
    </row>
    <row r="91" spans="1:13">
      <c r="B91" s="12">
        <f>E87-D87</f>
        <v>-1</v>
      </c>
      <c r="G91" s="46">
        <f>RADIANS(G90)</f>
        <v>1.0471975511965976</v>
      </c>
    </row>
    <row r="92" spans="1:13">
      <c r="B92" s="13">
        <f>E88-D88</f>
        <v>1</v>
      </c>
      <c r="G92" s="16">
        <f>SIN(G91)</f>
        <v>0.8660254037844386</v>
      </c>
      <c r="H92" s="16">
        <f>G92*F84</f>
        <v>26.546573405388305</v>
      </c>
    </row>
    <row r="93" spans="1:13">
      <c r="B93" s="14" t="s">
        <v>89</v>
      </c>
    </row>
    <row r="95" spans="1:13">
      <c r="A95" s="5">
        <f>3/4</f>
        <v>0.75</v>
      </c>
      <c r="B95" s="5"/>
      <c r="C95" s="5"/>
    </row>
    <row r="96" spans="1:13">
      <c r="A96" s="5">
        <f>ATAN(A95)</f>
        <v>0.64350110879328437</v>
      </c>
      <c r="B96" s="5">
        <v>27</v>
      </c>
      <c r="C96" s="5">
        <v>4</v>
      </c>
    </row>
    <row r="97" spans="1:10">
      <c r="A97" s="5">
        <f>DEGREES(A96)</f>
        <v>36.86989764584402</v>
      </c>
      <c r="B97" s="5"/>
      <c r="C97" s="5">
        <f>B96/C96</f>
        <v>6.75</v>
      </c>
    </row>
    <row r="98" spans="1:10">
      <c r="A98" s="5"/>
      <c r="B98" s="5">
        <v>5</v>
      </c>
      <c r="C98" s="5">
        <f>B98-C97</f>
        <v>-1.75</v>
      </c>
      <c r="D98" s="11" t="s">
        <v>84</v>
      </c>
      <c r="E98" s="11" t="s">
        <v>86</v>
      </c>
      <c r="G98" s="16">
        <v>25</v>
      </c>
      <c r="H98" s="16">
        <v>49</v>
      </c>
    </row>
    <row r="99" spans="1:10">
      <c r="A99" s="5" t="s">
        <v>82</v>
      </c>
      <c r="B99" s="5">
        <f>SIN(A96)</f>
        <v>0.6</v>
      </c>
      <c r="C99" s="5">
        <v>5</v>
      </c>
      <c r="D99" s="12">
        <f>C99*B99</f>
        <v>3</v>
      </c>
      <c r="E99" s="12">
        <v>5</v>
      </c>
      <c r="H99" s="16">
        <f>G98*H98</f>
        <v>1225</v>
      </c>
    </row>
    <row r="100" spans="1:10">
      <c r="A100" s="5" t="s">
        <v>83</v>
      </c>
      <c r="B100" s="5">
        <f>COS(A96)</f>
        <v>0.8</v>
      </c>
      <c r="C100" s="5">
        <v>5</v>
      </c>
      <c r="D100" s="13">
        <f>C100*B100</f>
        <v>4</v>
      </c>
      <c r="E100" s="13">
        <v>9</v>
      </c>
    </row>
    <row r="101" spans="1:10">
      <c r="D101" s="14" t="s">
        <v>85</v>
      </c>
      <c r="E101" s="14" t="s">
        <v>87</v>
      </c>
      <c r="G101" s="16">
        <f>7.5*3.5*2.5*1.5</f>
        <v>98.4375</v>
      </c>
    </row>
    <row r="102" spans="1:10">
      <c r="B102" s="11" t="s">
        <v>90</v>
      </c>
      <c r="G102" s="16">
        <f>SQRT(G101)</f>
        <v>9.9215674164922145</v>
      </c>
    </row>
    <row r="103" spans="1:10">
      <c r="B103" s="12">
        <f>E99-D99</f>
        <v>2</v>
      </c>
    </row>
    <row r="104" spans="1:10">
      <c r="B104" s="13">
        <f>E100-D100</f>
        <v>5</v>
      </c>
    </row>
    <row r="105" spans="1:10">
      <c r="B105" s="14" t="s">
        <v>91</v>
      </c>
    </row>
    <row r="107" spans="1:10">
      <c r="A107" s="30" t="s">
        <v>92</v>
      </c>
    </row>
    <row r="108" spans="1:10">
      <c r="D108" s="16">
        <v>2</v>
      </c>
      <c r="E108" s="16">
        <f>ATAN(D108)</f>
        <v>1.1071487177940904</v>
      </c>
      <c r="F108" s="16">
        <f>DEGREES(E108)</f>
        <v>63.43494882292201</v>
      </c>
      <c r="H108" s="16">
        <v>180</v>
      </c>
      <c r="I108" s="16">
        <v>45</v>
      </c>
      <c r="J108" s="16">
        <f>H108-I108-F108</f>
        <v>71.56505117707799</v>
      </c>
    </row>
    <row r="109" spans="1:10">
      <c r="A109" s="16">
        <v>12</v>
      </c>
      <c r="B109" s="16">
        <v>0.6</v>
      </c>
    </row>
    <row r="110" spans="1:10">
      <c r="B110" s="16">
        <f>SQRT(B109)</f>
        <v>0.7745966692414834</v>
      </c>
      <c r="C110" s="16">
        <f>A109*B110</f>
        <v>9.2951600308978009</v>
      </c>
      <c r="E110" s="16">
        <v>62.3538</v>
      </c>
      <c r="H110" s="16">
        <v>90</v>
      </c>
    </row>
    <row r="111" spans="1:10">
      <c r="E111" s="16">
        <f>C113</f>
        <v>6.9282032302755088</v>
      </c>
      <c r="F111" s="16">
        <f>(1/3)*E110*E111</f>
        <v>143.99993285998431</v>
      </c>
      <c r="H111" s="16">
        <f>H110-F108</f>
        <v>26.56505117707799</v>
      </c>
    </row>
    <row r="112" spans="1:10">
      <c r="A112" s="16">
        <v>4</v>
      </c>
      <c r="B112" s="16">
        <v>3</v>
      </c>
      <c r="H112" s="16">
        <f>RADIANS(H111)</f>
        <v>0.46364760900080609</v>
      </c>
      <c r="I112" s="16" t="s">
        <v>93</v>
      </c>
      <c r="J112" s="16">
        <f>COS(H112)</f>
        <v>0.89442719099991586</v>
      </c>
    </row>
    <row r="113" spans="1:14">
      <c r="B113" s="16">
        <f>SQRT(B112)</f>
        <v>1.7320508075688772</v>
      </c>
      <c r="C113" s="16">
        <f>A112*B113</f>
        <v>6.9282032302755088</v>
      </c>
    </row>
    <row r="114" spans="1:14">
      <c r="A114" s="97" t="s">
        <v>96</v>
      </c>
      <c r="B114" s="97"/>
      <c r="C114" s="97"/>
      <c r="D114" s="97"/>
      <c r="I114" s="16" t="s">
        <v>94</v>
      </c>
      <c r="J114" s="16">
        <f>C110/J112</f>
        <v>10.392304845413264</v>
      </c>
    </row>
    <row r="115" spans="1:14">
      <c r="I115" s="16" t="s">
        <v>95</v>
      </c>
      <c r="J115" s="16">
        <f>(J114*2)/3</f>
        <v>6.9282032302755097</v>
      </c>
    </row>
    <row r="117" spans="1:14">
      <c r="H117" s="16">
        <v>45</v>
      </c>
    </row>
    <row r="118" spans="1:14">
      <c r="H118" s="16">
        <f>H117-H111</f>
        <v>18.43494882292201</v>
      </c>
    </row>
    <row r="119" spans="1:14">
      <c r="H119" s="16">
        <f>RADIANS(H118)</f>
        <v>0.32175055439664219</v>
      </c>
      <c r="I119" s="16" t="s">
        <v>93</v>
      </c>
      <c r="J119" s="16">
        <f>COS(H119)</f>
        <v>0.94868329805051377</v>
      </c>
    </row>
    <row r="120" spans="1:14">
      <c r="I120" s="16" t="s">
        <v>55</v>
      </c>
      <c r="J120" s="16">
        <f>C110/J119</f>
        <v>9.7979589711327133</v>
      </c>
    </row>
    <row r="122" spans="1:14" ht="19.149999999999999" customHeight="1">
      <c r="A122" s="96" t="s">
        <v>97</v>
      </c>
      <c r="B122" s="96"/>
      <c r="C122" s="96"/>
      <c r="D122" s="96"/>
      <c r="E122" s="96"/>
    </row>
    <row r="123" spans="1:14" ht="20.100000000000001" customHeight="1">
      <c r="D123" s="19"/>
      <c r="E123" s="19" t="s">
        <v>37</v>
      </c>
      <c r="F123" s="16">
        <f>B129</f>
        <v>1.5275252316519468</v>
      </c>
      <c r="H123" s="33" t="s">
        <v>136</v>
      </c>
      <c r="I123" s="33" t="s">
        <v>137</v>
      </c>
      <c r="J123" s="33" t="s">
        <v>138</v>
      </c>
      <c r="K123" s="61" t="s">
        <v>5</v>
      </c>
    </row>
    <row r="124" spans="1:14" ht="20.100000000000001" customHeight="1">
      <c r="E124" s="80" t="s">
        <v>193</v>
      </c>
      <c r="F124" s="16">
        <f>F123*2</f>
        <v>3.0550504633038935</v>
      </c>
      <c r="H124" s="16">
        <f>D127-A127</f>
        <v>7</v>
      </c>
      <c r="I124" s="16">
        <f>D127-B127</f>
        <v>4</v>
      </c>
      <c r="J124" s="16">
        <f>D127-C127</f>
        <v>1</v>
      </c>
      <c r="K124" s="16">
        <f>SQRT(K125*H124*I124*J124)</f>
        <v>18.330302779823359</v>
      </c>
    </row>
    <row r="125" spans="1:14" ht="20.100000000000001" customHeight="1">
      <c r="K125" s="16">
        <f>D127</f>
        <v>12</v>
      </c>
    </row>
    <row r="126" spans="1:14">
      <c r="A126" s="16" t="s">
        <v>0</v>
      </c>
      <c r="B126" s="16" t="s">
        <v>1</v>
      </c>
      <c r="C126" s="16" t="s">
        <v>2</v>
      </c>
      <c r="D126" s="16" t="s">
        <v>3</v>
      </c>
      <c r="E126" s="16" t="s">
        <v>4</v>
      </c>
      <c r="G126" s="97" t="s">
        <v>139</v>
      </c>
      <c r="H126" s="97"/>
      <c r="I126" s="97"/>
    </row>
    <row r="127" spans="1:14" ht="15.75">
      <c r="A127" s="49">
        <v>5</v>
      </c>
      <c r="B127" s="50">
        <v>8</v>
      </c>
      <c r="C127" s="50">
        <v>11</v>
      </c>
      <c r="D127" s="16">
        <f>E127/2</f>
        <v>12</v>
      </c>
      <c r="E127" s="16">
        <f>A127+B127+C127</f>
        <v>24</v>
      </c>
      <c r="G127" s="34" t="s">
        <v>28</v>
      </c>
      <c r="H127" s="34">
        <f>(B127*B127+C127*C127-A127*A127)/(2*B127*C127)</f>
        <v>0.90909090909090906</v>
      </c>
      <c r="I127" s="34" t="s">
        <v>30</v>
      </c>
      <c r="J127" s="34">
        <f>(A127*A127+C127*C127-B127*B127)/(2*A127*C127)</f>
        <v>0.74545454545454548</v>
      </c>
      <c r="K127" s="34" t="s">
        <v>32</v>
      </c>
      <c r="L127" s="34">
        <f>(A127*A127+B127*B127-C127*C127)/(2*A127*B127)</f>
        <v>-0.4</v>
      </c>
      <c r="M127" s="34"/>
      <c r="N127" s="34" t="s">
        <v>6</v>
      </c>
    </row>
    <row r="128" spans="1:14">
      <c r="G128" s="34" t="s">
        <v>26</v>
      </c>
      <c r="H128" s="34">
        <f>ACOS(H127)</f>
        <v>0.42969966615142452</v>
      </c>
      <c r="I128" s="34" t="s">
        <v>27</v>
      </c>
      <c r="J128" s="34">
        <f>ACOS(J127)</f>
        <v>0.72957981457598409</v>
      </c>
      <c r="K128" s="34" t="s">
        <v>33</v>
      </c>
      <c r="L128" s="34">
        <f>ACOS(L127)</f>
        <v>1.9823131728623846</v>
      </c>
      <c r="M128" s="34">
        <f>H128+J128+L128</f>
        <v>3.1415926535897931</v>
      </c>
      <c r="N128" s="34">
        <f>PI()</f>
        <v>3.1415926535897931</v>
      </c>
    </row>
    <row r="129" spans="1:14">
      <c r="A129" s="89" t="s">
        <v>201</v>
      </c>
      <c r="B129" s="16">
        <f>SQRT((D127-A127)*(D127-B127)*(D127-C127)/D127)</f>
        <v>1.5275252316519468</v>
      </c>
      <c r="G129" s="34" t="s">
        <v>29</v>
      </c>
      <c r="H129" s="34">
        <f>DEGREES(H128)</f>
        <v>24.619977328657104</v>
      </c>
      <c r="I129" s="34" t="s">
        <v>31</v>
      </c>
      <c r="J129" s="34">
        <f>DEGREES(J128)</f>
        <v>41.801844193141072</v>
      </c>
      <c r="K129" s="34" t="s">
        <v>34</v>
      </c>
      <c r="L129" s="34">
        <f>DEGREES(L128)</f>
        <v>113.57817847820183</v>
      </c>
      <c r="M129" s="34">
        <f>H129+J129+L129</f>
        <v>180</v>
      </c>
      <c r="N129" s="19" t="s">
        <v>65</v>
      </c>
    </row>
    <row r="130" spans="1:14">
      <c r="A130" s="89" t="s">
        <v>203</v>
      </c>
      <c r="B130" s="16">
        <f>PI()*B129*B129</f>
        <v>7.3303828583761845</v>
      </c>
    </row>
    <row r="131" spans="1:14">
      <c r="G131" s="97" t="s">
        <v>140</v>
      </c>
      <c r="H131" s="97"/>
      <c r="I131" s="97"/>
      <c r="J131" s="97"/>
      <c r="K131" s="97"/>
      <c r="L131" s="97"/>
    </row>
    <row r="132" spans="1:14">
      <c r="H132" s="34" t="s">
        <v>141</v>
      </c>
      <c r="I132" s="61" t="s">
        <v>171</v>
      </c>
      <c r="J132" s="61" t="s">
        <v>172</v>
      </c>
    </row>
    <row r="133" spans="1:14">
      <c r="H133" s="16">
        <f>B129/TAN(H128/2)</f>
        <v>7</v>
      </c>
      <c r="I133" s="16">
        <f>B129/TAN(J128/2)</f>
        <v>4</v>
      </c>
      <c r="J133" s="16">
        <f>B129/TAN(L128/2)</f>
        <v>1.0000000000000002</v>
      </c>
    </row>
    <row r="140" spans="1:14">
      <c r="I140" s="5"/>
      <c r="J140" s="5" t="s">
        <v>56</v>
      </c>
      <c r="K140" s="5"/>
      <c r="L140" s="5"/>
    </row>
    <row r="141" spans="1:14">
      <c r="I141" s="5"/>
      <c r="J141" s="5" t="s">
        <v>57</v>
      </c>
      <c r="K141" s="5"/>
      <c r="L141" s="5"/>
    </row>
    <row r="145" spans="1:22">
      <c r="H145" s="16" t="s">
        <v>0</v>
      </c>
      <c r="I145" s="16" t="s">
        <v>1</v>
      </c>
      <c r="J145" s="16" t="s">
        <v>2</v>
      </c>
    </row>
    <row r="146" spans="1:22">
      <c r="H146" s="16">
        <f>2*SQRT(38.25)</f>
        <v>12.369316876852981</v>
      </c>
      <c r="I146" s="10">
        <v>3</v>
      </c>
      <c r="J146" s="10">
        <f>6*SQRT(5)</f>
        <v>13.416407864998739</v>
      </c>
    </row>
    <row r="147" spans="1:22">
      <c r="H147" s="16">
        <f>H146*H146</f>
        <v>152.99999999999997</v>
      </c>
      <c r="I147" s="16">
        <f>I146*I146</f>
        <v>9</v>
      </c>
      <c r="J147" s="16">
        <f>J146*J146</f>
        <v>180.00000000000003</v>
      </c>
    </row>
    <row r="148" spans="1:22">
      <c r="H148" s="16" t="s">
        <v>58</v>
      </c>
      <c r="I148" s="16" t="s">
        <v>60</v>
      </c>
      <c r="J148" s="16" t="s">
        <v>59</v>
      </c>
    </row>
    <row r="149" spans="1:22">
      <c r="H149" s="16">
        <f>(1/2)*SQRT(2*I147+2*J147-H147)</f>
        <v>7.5000000000000018</v>
      </c>
      <c r="I149" s="23">
        <f>(1/2)*SQRT(2*J147+2*H147-I147)</f>
        <v>12.816005617976296</v>
      </c>
      <c r="J149" s="16">
        <f>(1/2)*SQRT(2*H147+2*I147-J147)</f>
        <v>5.9999999999999982</v>
      </c>
    </row>
    <row r="150" spans="1:22">
      <c r="A150" s="75" t="s">
        <v>58</v>
      </c>
      <c r="B150" s="75" t="s">
        <v>60</v>
      </c>
      <c r="C150" s="75" t="s">
        <v>59</v>
      </c>
      <c r="D150" s="2" t="s">
        <v>98</v>
      </c>
      <c r="I150" s="16">
        <f>I149*2/3</f>
        <v>8.5440037453175304</v>
      </c>
      <c r="J150" s="16">
        <f>I149-I150</f>
        <v>4.2720018726587661</v>
      </c>
    </row>
    <row r="151" spans="1:22" ht="15.75">
      <c r="A151" s="76">
        <f>0.5*SQRT(2*B154^2+2*C154^2-(A154)^2)</f>
        <v>6.9282032302755088</v>
      </c>
      <c r="B151" s="76">
        <f>0.5*SQRT(2*A154^2+2*C154^2-(B154)^2)</f>
        <v>6.9282032302755088</v>
      </c>
      <c r="C151" s="76">
        <f>0.5*SQRT(2*A154^2+2*B154^2-C154^2)</f>
        <v>6.9282032302755088</v>
      </c>
      <c r="D151" s="1">
        <f>4*(A151*A151+B151*B151+C151*C151)</f>
        <v>575.99999999999989</v>
      </c>
      <c r="F151" s="2">
        <v>38.25</v>
      </c>
      <c r="G151" s="2">
        <v>4</v>
      </c>
    </row>
    <row r="152" spans="1:22">
      <c r="G152" s="16">
        <f>F151*G151</f>
        <v>153</v>
      </c>
    </row>
    <row r="153" spans="1:22" ht="15.75">
      <c r="A153" s="49" t="s">
        <v>0</v>
      </c>
      <c r="B153" s="49" t="s">
        <v>1</v>
      </c>
      <c r="C153" s="49" t="s">
        <v>2</v>
      </c>
      <c r="D153" s="2" t="s">
        <v>99</v>
      </c>
    </row>
    <row r="154" spans="1:22" ht="15.75">
      <c r="A154" s="49">
        <v>8</v>
      </c>
      <c r="B154" s="49">
        <v>8</v>
      </c>
      <c r="C154" s="49">
        <v>8</v>
      </c>
      <c r="D154" s="1">
        <f>3*(A154*A154+B154*B154+C154*C154)</f>
        <v>576</v>
      </c>
      <c r="F154" s="89"/>
    </row>
    <row r="155" spans="1:22">
      <c r="E155" s="89" t="s">
        <v>201</v>
      </c>
      <c r="F155" s="16">
        <f>F123</f>
        <v>1.5275252316519468</v>
      </c>
      <c r="G155" s="89" t="s">
        <v>202</v>
      </c>
      <c r="H155" s="16">
        <f>PI()*F155*F155</f>
        <v>7.3303828583761845</v>
      </c>
    </row>
    <row r="156" spans="1:22" ht="18.399999999999999" customHeight="1">
      <c r="A156" s="41" t="s">
        <v>150</v>
      </c>
      <c r="B156" s="41"/>
      <c r="C156" s="41"/>
      <c r="D156" s="41"/>
      <c r="E156" s="41"/>
      <c r="F156" s="37"/>
      <c r="G156" s="89">
        <v>0</v>
      </c>
      <c r="H156" s="16">
        <v>3</v>
      </c>
    </row>
    <row r="158" spans="1:22">
      <c r="M158" s="2" t="s">
        <v>103</v>
      </c>
      <c r="N158" s="2">
        <v>8.5</v>
      </c>
      <c r="V158" s="16" t="s">
        <v>104</v>
      </c>
    </row>
    <row r="159" spans="1:22">
      <c r="M159" s="2" t="s">
        <v>143</v>
      </c>
      <c r="N159" s="2">
        <v>15</v>
      </c>
      <c r="O159" s="2">
        <f>RADIANS(N159)</f>
        <v>0.26179938779914941</v>
      </c>
    </row>
    <row r="160" spans="1:22">
      <c r="M160" s="2" t="s">
        <v>144</v>
      </c>
      <c r="N160" s="2">
        <v>60</v>
      </c>
      <c r="O160" s="2">
        <f t="shared" ref="O160:O161" si="16">RADIANS(N160)</f>
        <v>1.0471975511965976</v>
      </c>
    </row>
    <row r="161" spans="1:22">
      <c r="M161" s="2" t="s">
        <v>111</v>
      </c>
      <c r="N161" s="2">
        <f>180-N159-N160</f>
        <v>105</v>
      </c>
      <c r="O161" s="2">
        <f t="shared" si="16"/>
        <v>1.8325957145940461</v>
      </c>
    </row>
    <row r="162" spans="1:22">
      <c r="A162" s="2" t="s">
        <v>0</v>
      </c>
      <c r="B162" s="2" t="s">
        <v>1</v>
      </c>
      <c r="C162" s="2" t="s">
        <v>2</v>
      </c>
      <c r="D162" s="16" t="s">
        <v>3</v>
      </c>
      <c r="E162" s="16" t="s">
        <v>4</v>
      </c>
      <c r="F162" s="16" t="s">
        <v>103</v>
      </c>
    </row>
    <row r="163" spans="1:22" ht="15.75">
      <c r="A163" s="49">
        <v>1</v>
      </c>
      <c r="B163" s="50">
        <f>SQRT(2)</f>
        <v>1.4142135623730951</v>
      </c>
      <c r="C163" s="50">
        <v>1</v>
      </c>
      <c r="D163" s="16">
        <f>E163/2</f>
        <v>1.7071067811865475</v>
      </c>
      <c r="E163" s="16">
        <f>A163+B163+C163</f>
        <v>3.4142135623730949</v>
      </c>
      <c r="F163" s="3"/>
      <c r="M163" s="36" t="s">
        <v>71</v>
      </c>
      <c r="N163" s="16">
        <f>SIN(O159)</f>
        <v>0.25881904510252074</v>
      </c>
    </row>
    <row r="164" spans="1:22">
      <c r="A164" s="16">
        <f>$D$163-A163</f>
        <v>0.70710678118654746</v>
      </c>
      <c r="B164" s="78">
        <f t="shared" ref="B164:C164" si="17">$D$163-B163</f>
        <v>0.29289321881345232</v>
      </c>
      <c r="C164" s="78">
        <f t="shared" si="17"/>
        <v>0.70710678118654746</v>
      </c>
      <c r="E164" s="16" t="s">
        <v>105</v>
      </c>
      <c r="F164" s="16">
        <f>(A163*B163*C163)/(4*SQRT(D163*(D163-A163)*(D163-B163)*(D163-C163)))</f>
        <v>0.70710678118654779</v>
      </c>
      <c r="G164" s="16" t="s">
        <v>100</v>
      </c>
      <c r="H164" s="16">
        <f>PI()*F164*F164</f>
        <v>1.5707963267948979</v>
      </c>
      <c r="M164" s="36" t="s">
        <v>72</v>
      </c>
      <c r="N164" s="36">
        <f t="shared" ref="N164:N165" si="18">SIN(O160)</f>
        <v>0.8660254037844386</v>
      </c>
    </row>
    <row r="165" spans="1:22">
      <c r="C165" s="16">
        <f>D163*A164*B164*C164</f>
        <v>0.24999999999999983</v>
      </c>
      <c r="D165" s="16">
        <f>SQRT(C165)</f>
        <v>0.49999999999999983</v>
      </c>
      <c r="M165" s="36" t="s">
        <v>73</v>
      </c>
      <c r="N165" s="36">
        <f t="shared" si="18"/>
        <v>0.96592582628906831</v>
      </c>
    </row>
    <row r="166" spans="1:22">
      <c r="E166" s="16" t="s">
        <v>107</v>
      </c>
      <c r="G166" s="16" t="s">
        <v>100</v>
      </c>
      <c r="H166" s="16">
        <f>SQRT(D163*(D163-A163)*(D163-B163)*(D163-C163))</f>
        <v>0.49999999999999983</v>
      </c>
      <c r="I166" s="16">
        <f>H166/H164</f>
        <v>0.3183098861837903</v>
      </c>
    </row>
    <row r="167" spans="1:22" ht="15.75">
      <c r="C167" s="16" t="s">
        <v>106</v>
      </c>
      <c r="D167" s="16">
        <f>A163*B163*C163</f>
        <v>1.4142135623730951</v>
      </c>
      <c r="M167" s="37" t="s">
        <v>145</v>
      </c>
      <c r="N167" s="37">
        <f>2*$N$158*N163</f>
        <v>4.3999237667428526</v>
      </c>
    </row>
    <row r="168" spans="1:22" ht="15.75">
      <c r="C168" s="56" t="s">
        <v>95</v>
      </c>
      <c r="D168" s="56">
        <f>D167/(4*H166)</f>
        <v>0.70710678118654779</v>
      </c>
      <c r="E168" s="61" t="s">
        <v>170</v>
      </c>
      <c r="F168" s="16">
        <f>D168*2</f>
        <v>1.4142135623730956</v>
      </c>
      <c r="M168" s="37" t="s">
        <v>54</v>
      </c>
      <c r="N168" s="37">
        <f t="shared" ref="N168:N169" si="19">2*$N$158*N164</f>
        <v>14.722431864335457</v>
      </c>
      <c r="O168" s="36"/>
    </row>
    <row r="169" spans="1:22" ht="15.75">
      <c r="C169" s="57" t="s">
        <v>168</v>
      </c>
      <c r="D169" s="16">
        <f>2*PI()*D168</f>
        <v>4.4428829381583679</v>
      </c>
      <c r="M169" s="37" t="s">
        <v>55</v>
      </c>
      <c r="N169" s="37">
        <f t="shared" si="19"/>
        <v>16.420739046914161</v>
      </c>
    </row>
    <row r="170" spans="1:22" ht="19.5">
      <c r="A170" s="17"/>
      <c r="B170" s="17" t="s">
        <v>108</v>
      </c>
      <c r="C170" s="17" t="s">
        <v>109</v>
      </c>
      <c r="D170" s="17" t="s">
        <v>110</v>
      </c>
      <c r="E170" s="25" t="s">
        <v>126</v>
      </c>
      <c r="F170" s="26" t="s">
        <v>127</v>
      </c>
      <c r="G170" s="100" t="s">
        <v>117</v>
      </c>
      <c r="H170" s="97"/>
      <c r="I170" s="97"/>
      <c r="J170" s="97"/>
      <c r="M170" s="39" t="s">
        <v>146</v>
      </c>
      <c r="N170" s="39">
        <f>SUM(N167:N169)</f>
        <v>35.543094677992471</v>
      </c>
    </row>
    <row r="171" spans="1:22">
      <c r="A171" s="17" t="s">
        <v>121</v>
      </c>
      <c r="B171" s="17">
        <v>5</v>
      </c>
      <c r="C171" s="17">
        <v>0</v>
      </c>
      <c r="D171" s="17">
        <v>-8</v>
      </c>
      <c r="E171" s="17"/>
      <c r="F171" s="17"/>
      <c r="G171" s="100" t="s">
        <v>118</v>
      </c>
      <c r="H171" s="97"/>
      <c r="I171" s="97"/>
      <c r="J171" s="97"/>
      <c r="M171" s="39" t="s">
        <v>147</v>
      </c>
      <c r="N171" s="39">
        <f>N170/2</f>
        <v>17.771547338996236</v>
      </c>
    </row>
    <row r="172" spans="1:22" ht="15.75">
      <c r="A172" s="17" t="s">
        <v>120</v>
      </c>
      <c r="B172" s="17">
        <v>7</v>
      </c>
      <c r="C172" s="17">
        <v>-1</v>
      </c>
      <c r="D172" s="17">
        <v>3</v>
      </c>
      <c r="E172" s="17"/>
      <c r="F172" s="17"/>
      <c r="M172" s="37"/>
      <c r="N172" s="37"/>
    </row>
    <row r="173" spans="1:22" ht="15.75">
      <c r="A173" s="17" t="s">
        <v>111</v>
      </c>
      <c r="B173" s="17"/>
      <c r="C173" s="17"/>
      <c r="D173" s="17"/>
      <c r="E173" s="17"/>
      <c r="F173" s="17"/>
      <c r="I173" s="97" t="s">
        <v>157</v>
      </c>
      <c r="J173" s="97"/>
      <c r="K173" s="97"/>
      <c r="L173" s="53"/>
      <c r="M173" s="37" t="s">
        <v>100</v>
      </c>
      <c r="N173" s="37">
        <f>SQRT(N171*(N171-N167)*(N171-N168)*(N171-N169))</f>
        <v>31.285167711712852</v>
      </c>
    </row>
    <row r="174" spans="1:22">
      <c r="A174" s="17" t="s">
        <v>125</v>
      </c>
      <c r="B174" s="17">
        <v>3</v>
      </c>
      <c r="C174" s="17">
        <v>-2</v>
      </c>
      <c r="D174" s="17">
        <v>4</v>
      </c>
      <c r="E174" s="17"/>
      <c r="F174" s="17"/>
      <c r="I174" s="97" t="s">
        <v>118</v>
      </c>
      <c r="J174" s="97"/>
      <c r="K174" s="97"/>
    </row>
    <row r="175" spans="1:22">
      <c r="A175" s="17"/>
      <c r="B175" s="17" t="s">
        <v>112</v>
      </c>
      <c r="C175" s="17" t="s">
        <v>113</v>
      </c>
      <c r="D175" s="17" t="s">
        <v>114</v>
      </c>
      <c r="E175" s="17"/>
      <c r="F175" s="17"/>
    </row>
    <row r="176" spans="1:22">
      <c r="A176" s="17" t="s">
        <v>122</v>
      </c>
      <c r="B176" s="17">
        <f>B172-B171</f>
        <v>2</v>
      </c>
      <c r="C176" s="17">
        <f>C172-C171</f>
        <v>-1</v>
      </c>
      <c r="D176" s="17">
        <f>D172-D171</f>
        <v>11</v>
      </c>
      <c r="E176" s="17"/>
      <c r="F176" s="17"/>
      <c r="H176" s="104" t="s">
        <v>158</v>
      </c>
      <c r="I176" s="104"/>
      <c r="J176" s="104" t="s">
        <v>159</v>
      </c>
      <c r="K176" s="104"/>
      <c r="L176" s="104" t="s">
        <v>160</v>
      </c>
      <c r="M176" s="104"/>
      <c r="O176" s="2" t="s">
        <v>0</v>
      </c>
      <c r="P176" s="2" t="s">
        <v>1</v>
      </c>
      <c r="Q176" s="2" t="s">
        <v>2</v>
      </c>
      <c r="R176" s="55" t="s">
        <v>3</v>
      </c>
      <c r="S176" s="55" t="s">
        <v>4</v>
      </c>
      <c r="T176" s="55" t="s">
        <v>5</v>
      </c>
      <c r="U176" s="55"/>
      <c r="V176" s="55"/>
    </row>
    <row r="177" spans="1:22" ht="15.75">
      <c r="A177" s="17"/>
      <c r="B177" s="18">
        <f>B176*B176</f>
        <v>4</v>
      </c>
      <c r="C177" s="18">
        <f t="shared" ref="C177:D177" si="20">C176*C176</f>
        <v>1</v>
      </c>
      <c r="D177" s="18">
        <f t="shared" si="20"/>
        <v>121</v>
      </c>
      <c r="E177" s="18">
        <f>SUM(B177:D177)</f>
        <v>126</v>
      </c>
      <c r="F177" s="18">
        <f>SQRT(E177)</f>
        <v>11.224972160321824</v>
      </c>
      <c r="H177" s="17" t="s">
        <v>161</v>
      </c>
      <c r="I177" s="17" t="s">
        <v>162</v>
      </c>
      <c r="J177" s="17" t="s">
        <v>161</v>
      </c>
      <c r="K177" s="17" t="s">
        <v>162</v>
      </c>
      <c r="L177" s="17" t="s">
        <v>161</v>
      </c>
      <c r="M177" s="17" t="s">
        <v>162</v>
      </c>
      <c r="O177" s="2">
        <v>2</v>
      </c>
      <c r="P177" s="15">
        <v>3</v>
      </c>
      <c r="Q177" s="15">
        <v>4</v>
      </c>
      <c r="R177" s="55">
        <f>S177/2</f>
        <v>4.5</v>
      </c>
      <c r="S177" s="55">
        <f>O177+P177+Q177</f>
        <v>9</v>
      </c>
      <c r="T177" s="1">
        <f>SQRT(R177*(R177-O177)*(R177-P177)*(R177-Q177))</f>
        <v>2.9047375096555625</v>
      </c>
      <c r="U177" s="55"/>
      <c r="V177" s="55"/>
    </row>
    <row r="178" spans="1:22" ht="19.5" customHeight="1">
      <c r="A178" s="17" t="s">
        <v>115</v>
      </c>
      <c r="B178" s="17">
        <f>B193-B171</f>
        <v>6</v>
      </c>
      <c r="C178" s="17">
        <f t="shared" ref="C178:D178" si="21">C193-C171</f>
        <v>0</v>
      </c>
      <c r="D178" s="17">
        <f t="shared" si="21"/>
        <v>10</v>
      </c>
      <c r="E178" s="17">
        <f>SUM(B178:D178)</f>
        <v>16</v>
      </c>
      <c r="F178" s="17"/>
      <c r="H178" s="54">
        <v>-8</v>
      </c>
      <c r="I178" s="54">
        <v>0</v>
      </c>
      <c r="J178" s="54">
        <v>0</v>
      </c>
      <c r="K178" s="54">
        <v>15</v>
      </c>
      <c r="L178" s="54">
        <v>-8</v>
      </c>
      <c r="M178" s="54">
        <v>15</v>
      </c>
      <c r="O178" s="55"/>
      <c r="P178" s="55"/>
      <c r="Q178" s="55"/>
      <c r="R178" s="55"/>
      <c r="S178" s="55"/>
      <c r="T178" s="55"/>
      <c r="U178" s="55"/>
      <c r="V178" s="55"/>
    </row>
    <row r="179" spans="1:22" ht="15.75">
      <c r="A179" s="17"/>
      <c r="B179" s="18">
        <f>B178*B178</f>
        <v>36</v>
      </c>
      <c r="C179" s="18">
        <f t="shared" ref="C179:D179" si="22">C178*C178</f>
        <v>0</v>
      </c>
      <c r="D179" s="18">
        <f t="shared" si="22"/>
        <v>100</v>
      </c>
      <c r="E179" s="18">
        <f>SUM(B179:D179)</f>
        <v>136</v>
      </c>
      <c r="F179" s="18">
        <f>SQRT(E179)</f>
        <v>11.661903789690601</v>
      </c>
      <c r="O179" s="55"/>
      <c r="P179" s="55"/>
      <c r="Q179" s="55"/>
      <c r="R179" s="55"/>
      <c r="S179" s="55"/>
      <c r="T179" s="55"/>
      <c r="U179" s="55"/>
      <c r="V179" s="55"/>
    </row>
    <row r="180" spans="1:22">
      <c r="A180" s="13" t="s">
        <v>116</v>
      </c>
      <c r="B180" s="13"/>
      <c r="C180" s="13"/>
      <c r="D180" s="13"/>
      <c r="E180" s="13"/>
      <c r="F180" s="13"/>
      <c r="I180" s="104" t="s">
        <v>163</v>
      </c>
      <c r="J180" s="104"/>
      <c r="K180" s="104"/>
      <c r="L180" s="52"/>
      <c r="M180" s="52"/>
      <c r="O180" s="55" t="s">
        <v>28</v>
      </c>
      <c r="P180" s="55">
        <f>(P177*P177+Q177*Q177-O177*O177)/(2*P177*Q177)</f>
        <v>0.875</v>
      </c>
      <c r="Q180" s="55" t="s">
        <v>30</v>
      </c>
      <c r="R180" s="55">
        <f>(Q177*Q177+O177*O177-P177*P177)/(2*Q177*O177)</f>
        <v>0.6875</v>
      </c>
      <c r="S180" s="55" t="s">
        <v>32</v>
      </c>
      <c r="T180" s="55">
        <f>(O177*O177+P177*P177-Q177*Q177)/(2*O177*P177)</f>
        <v>-0.25</v>
      </c>
      <c r="U180" s="55"/>
      <c r="V180" s="55" t="s">
        <v>6</v>
      </c>
    </row>
    <row r="181" spans="1:22">
      <c r="A181" s="13"/>
      <c r="B181" s="13"/>
      <c r="C181" s="13"/>
      <c r="D181" s="13"/>
      <c r="E181" s="13"/>
      <c r="F181" s="13"/>
      <c r="I181" s="17" t="s">
        <v>164</v>
      </c>
      <c r="J181" s="17" t="s">
        <v>165</v>
      </c>
      <c r="K181" s="17" t="s">
        <v>166</v>
      </c>
      <c r="L181" s="104" t="s">
        <v>167</v>
      </c>
      <c r="M181" s="104"/>
      <c r="O181" s="55" t="s">
        <v>26</v>
      </c>
      <c r="P181" s="55">
        <f>ACOS(P180)</f>
        <v>0.50536051028415718</v>
      </c>
      <c r="Q181" s="55" t="s">
        <v>27</v>
      </c>
      <c r="R181" s="55">
        <f>ACOS(R180)</f>
        <v>0.81275556136866056</v>
      </c>
      <c r="S181" s="55" t="s">
        <v>33</v>
      </c>
      <c r="T181" s="55">
        <f>ACOS(T180)</f>
        <v>1.8234765819369751</v>
      </c>
      <c r="U181" s="55">
        <f>P181+R181+T181</f>
        <v>3.1415926535897931</v>
      </c>
      <c r="V181" s="55">
        <f>PI()</f>
        <v>3.1415926535897931</v>
      </c>
    </row>
    <row r="182" spans="1:22" ht="18">
      <c r="A182" s="13" t="s">
        <v>129</v>
      </c>
      <c r="B182" s="13">
        <f>B172-B174</f>
        <v>4</v>
      </c>
      <c r="C182" s="13">
        <f t="shared" ref="C182:D182" si="23">C172-C174</f>
        <v>1</v>
      </c>
      <c r="D182" s="13">
        <f t="shared" si="23"/>
        <v>-1</v>
      </c>
      <c r="E182" s="13"/>
      <c r="F182" s="13"/>
      <c r="I182" s="54">
        <f>SQRT((J178-H178)^2+(K178-I178)^2)</f>
        <v>17</v>
      </c>
      <c r="J182" s="54">
        <f>SQRT((L178-J178)^2+(M178-K178)^2)</f>
        <v>8</v>
      </c>
      <c r="K182" s="54">
        <f>SQRT((L178-H178)^2+(M178-I178)^2)</f>
        <v>15</v>
      </c>
      <c r="L182" s="104">
        <f>(I182+J182+K182)/2</f>
        <v>20</v>
      </c>
      <c r="M182" s="104"/>
      <c r="O182" s="55" t="s">
        <v>29</v>
      </c>
      <c r="P182" s="55">
        <f>DEGREES(P181)</f>
        <v>28.955024371859842</v>
      </c>
      <c r="Q182" s="55" t="s">
        <v>31</v>
      </c>
      <c r="R182" s="55">
        <f>DEGREES(R181)</f>
        <v>46.567463442210226</v>
      </c>
      <c r="S182" s="55" t="s">
        <v>34</v>
      </c>
      <c r="T182" s="55">
        <f>DEGREES(T181)</f>
        <v>104.47751218592992</v>
      </c>
      <c r="U182" s="55">
        <f>P182+R182+T182</f>
        <v>180</v>
      </c>
      <c r="V182" s="19" t="s">
        <v>65</v>
      </c>
    </row>
    <row r="183" spans="1:22" ht="15.75">
      <c r="A183" s="17"/>
      <c r="B183" s="18">
        <f>B182*B182</f>
        <v>16</v>
      </c>
      <c r="C183" s="18">
        <f t="shared" ref="C183:D183" si="24">C182*C182</f>
        <v>1</v>
      </c>
      <c r="D183" s="18">
        <f t="shared" si="24"/>
        <v>1</v>
      </c>
      <c r="E183" s="18">
        <f>SUM(B183:D183)</f>
        <v>18</v>
      </c>
      <c r="F183" s="18">
        <f>SQRT(E183)</f>
        <v>4.2426406871192848</v>
      </c>
      <c r="O183" s="55"/>
      <c r="P183" s="55"/>
      <c r="Q183" s="55"/>
      <c r="R183" s="55"/>
      <c r="S183" s="55"/>
      <c r="T183" s="55"/>
      <c r="U183" s="55"/>
      <c r="V183" s="55"/>
    </row>
    <row r="184" spans="1:22" ht="15.75">
      <c r="A184" s="101" t="s">
        <v>119</v>
      </c>
      <c r="B184" s="102"/>
      <c r="C184" s="102"/>
      <c r="D184" s="102"/>
      <c r="E184" s="102"/>
      <c r="F184" s="103"/>
      <c r="I184" s="104" t="str">
        <f>I173</f>
        <v xml:space="preserve">Радиус описанной окружности </v>
      </c>
      <c r="J184" s="104"/>
      <c r="K184" s="104"/>
      <c r="O184" s="55" t="s">
        <v>23</v>
      </c>
      <c r="P184" s="55">
        <f>SIN(P181)</f>
        <v>0.48412291827592702</v>
      </c>
      <c r="Q184" s="55" t="s">
        <v>24</v>
      </c>
      <c r="R184" s="55">
        <f>SIN(R181)</f>
        <v>0.72618437741389064</v>
      </c>
      <c r="S184" s="55" t="s">
        <v>25</v>
      </c>
      <c r="T184" s="55">
        <f>SIN(T181)</f>
        <v>0.96824583655185426</v>
      </c>
      <c r="U184" s="55"/>
      <c r="V184" s="55"/>
    </row>
    <row r="185" spans="1:22" ht="18">
      <c r="A185" s="17"/>
      <c r="B185" s="17">
        <f>B176</f>
        <v>2</v>
      </c>
      <c r="C185" s="17">
        <f t="shared" ref="C185:D185" si="25">C176</f>
        <v>-1</v>
      </c>
      <c r="D185" s="17">
        <f t="shared" si="25"/>
        <v>11</v>
      </c>
      <c r="E185" s="17"/>
      <c r="F185" s="17"/>
      <c r="I185" s="54" t="s">
        <v>95</v>
      </c>
      <c r="J185" s="54">
        <f>I182*J182*K182/(4*SQRT(L182*(L182-I182)*(L182-J182)*(L182-K182)))</f>
        <v>8.5</v>
      </c>
      <c r="O185" s="55"/>
      <c r="P185" s="55"/>
      <c r="Q185" s="55"/>
      <c r="R185" s="55"/>
      <c r="S185" s="55"/>
      <c r="T185" s="55"/>
      <c r="U185" s="55"/>
      <c r="V185" s="55"/>
    </row>
    <row r="186" spans="1:22">
      <c r="A186" s="17" t="s">
        <v>123</v>
      </c>
      <c r="B186" s="24">
        <f>B185+B172</f>
        <v>9</v>
      </c>
      <c r="C186" s="24">
        <f t="shared" ref="C186:D186" si="26">C185+C172</f>
        <v>-2</v>
      </c>
      <c r="D186" s="24">
        <f t="shared" si="26"/>
        <v>14</v>
      </c>
      <c r="E186" s="17"/>
      <c r="F186" s="17"/>
      <c r="O186" s="55"/>
      <c r="P186" s="55"/>
      <c r="Q186" s="55" t="s">
        <v>64</v>
      </c>
      <c r="R186" s="1">
        <f>0.5*O177*Q177*R184</f>
        <v>2.9047375096555625</v>
      </c>
      <c r="S186" s="55"/>
      <c r="T186" s="55"/>
      <c r="U186" s="55"/>
      <c r="V186" s="55"/>
    </row>
    <row r="187" spans="1:22">
      <c r="A187" s="17" t="s">
        <v>124</v>
      </c>
      <c r="B187" s="17">
        <f>B172-B186</f>
        <v>-2</v>
      </c>
      <c r="C187" s="17">
        <f t="shared" ref="C187:D187" si="27">C172-C186</f>
        <v>1</v>
      </c>
      <c r="D187" s="17">
        <f t="shared" si="27"/>
        <v>-11</v>
      </c>
      <c r="E187" s="17"/>
      <c r="F187" s="17"/>
    </row>
    <row r="188" spans="1:22" ht="15.75">
      <c r="A188" s="17"/>
      <c r="B188" s="18">
        <f>B187*B187</f>
        <v>4</v>
      </c>
      <c r="C188" s="18">
        <f t="shared" ref="C188:D188" si="28">C187*C187</f>
        <v>1</v>
      </c>
      <c r="D188" s="18">
        <f t="shared" si="28"/>
        <v>121</v>
      </c>
      <c r="E188" s="18">
        <f>SUM(B188:D188)</f>
        <v>126</v>
      </c>
      <c r="F188" s="18">
        <f>SQRT(E188)</f>
        <v>11.224972160321824</v>
      </c>
    </row>
    <row r="189" spans="1:22" ht="15.75">
      <c r="A189" s="17" t="s">
        <v>128</v>
      </c>
      <c r="B189" s="17">
        <f>B186-B174</f>
        <v>6</v>
      </c>
      <c r="C189" s="17">
        <f>C186-C174</f>
        <v>0</v>
      </c>
      <c r="D189" s="17">
        <f>D186-D174</f>
        <v>10</v>
      </c>
      <c r="E189" s="18">
        <f>SUM(B189:D189)</f>
        <v>16</v>
      </c>
      <c r="F189" s="18"/>
    </row>
    <row r="190" spans="1:22" ht="15.75">
      <c r="A190" s="17"/>
      <c r="B190" s="18">
        <f>B189*B189</f>
        <v>36</v>
      </c>
      <c r="C190" s="18">
        <f t="shared" ref="C190:D190" si="29">C189*C189</f>
        <v>0</v>
      </c>
      <c r="D190" s="18">
        <f t="shared" si="29"/>
        <v>100</v>
      </c>
      <c r="E190" s="18">
        <f>SUM(B190:D190)</f>
        <v>136</v>
      </c>
      <c r="F190" s="18">
        <f>SQRT(E190)</f>
        <v>11.661903789690601</v>
      </c>
    </row>
    <row r="191" spans="1:22">
      <c r="A191" s="17" t="s">
        <v>130</v>
      </c>
      <c r="B191" s="17">
        <f>B182</f>
        <v>4</v>
      </c>
      <c r="C191" s="17">
        <f t="shared" ref="C191:D191" si="30">C182</f>
        <v>1</v>
      </c>
      <c r="D191" s="17">
        <f t="shared" si="30"/>
        <v>-1</v>
      </c>
      <c r="E191" s="17"/>
      <c r="F191" s="17"/>
    </row>
    <row r="192" spans="1:22" ht="15.75">
      <c r="A192" s="17"/>
      <c r="B192" s="18">
        <f>B191*B191</f>
        <v>16</v>
      </c>
      <c r="C192" s="18">
        <f t="shared" ref="C192:D192" si="31">C191*C191</f>
        <v>1</v>
      </c>
      <c r="D192" s="18">
        <f t="shared" si="31"/>
        <v>1</v>
      </c>
      <c r="E192" s="18">
        <f>SUM(B192:D192)</f>
        <v>18</v>
      </c>
      <c r="F192" s="18">
        <f>SQRT(E192)</f>
        <v>4.2426406871192848</v>
      </c>
    </row>
    <row r="193" spans="1:6" ht="15.75">
      <c r="A193" s="17" t="s">
        <v>131</v>
      </c>
      <c r="B193" s="18">
        <f>B191+B172</f>
        <v>11</v>
      </c>
      <c r="C193" s="18">
        <f t="shared" ref="C193:D193" si="32">C191+C172</f>
        <v>0</v>
      </c>
      <c r="D193" s="18">
        <f t="shared" si="32"/>
        <v>2</v>
      </c>
      <c r="E193" s="17"/>
      <c r="F193" s="17"/>
    </row>
  </sheetData>
  <mergeCells count="39">
    <mergeCell ref="N33:Q33"/>
    <mergeCell ref="G26:J26"/>
    <mergeCell ref="K7:N7"/>
    <mergeCell ref="A13:E13"/>
    <mergeCell ref="A65:F65"/>
    <mergeCell ref="D53:I53"/>
    <mergeCell ref="F48:I48"/>
    <mergeCell ref="J32:K32"/>
    <mergeCell ref="F49:G49"/>
    <mergeCell ref="H49:I49"/>
    <mergeCell ref="J49:K49"/>
    <mergeCell ref="A14:E14"/>
    <mergeCell ref="A66:E66"/>
    <mergeCell ref="A57:E57"/>
    <mergeCell ref="D54:E54"/>
    <mergeCell ref="F54:G54"/>
    <mergeCell ref="H54:I54"/>
    <mergeCell ref="A58:E58"/>
    <mergeCell ref="G170:J170"/>
    <mergeCell ref="G171:J171"/>
    <mergeCell ref="A184:F184"/>
    <mergeCell ref="G126:I126"/>
    <mergeCell ref="G131:L131"/>
    <mergeCell ref="I173:K173"/>
    <mergeCell ref="I174:K174"/>
    <mergeCell ref="H176:I176"/>
    <mergeCell ref="J176:K176"/>
    <mergeCell ref="L176:M176"/>
    <mergeCell ref="I180:K180"/>
    <mergeCell ref="L181:M181"/>
    <mergeCell ref="L182:M182"/>
    <mergeCell ref="I184:K184"/>
    <mergeCell ref="A122:E122"/>
    <mergeCell ref="A114:D114"/>
    <mergeCell ref="A77:D77"/>
    <mergeCell ref="A79:G79"/>
    <mergeCell ref="A80:I80"/>
    <mergeCell ref="A81:F81"/>
    <mergeCell ref="A78:F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2013-05-06T23:44:09Z</dcterms:created>
  <dcterms:modified xsi:type="dcterms:W3CDTF">2015-09-16T21:21:09Z</dcterms:modified>
</cp:coreProperties>
</file>